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externalReferences>
    <externalReference r:id="rId8"/>
    <externalReference r:id="rId9"/>
    <externalReference r:id="rId10"/>
  </externalReferences>
  <definedNames>
    <definedName name="_xlnm.Print_Area" localSheetId="2">'COPARTICIPACION'!$A$2:$E$21</definedName>
    <definedName name="_xlnm.Print_Area" localSheetId="3">'EAI'!$A$2:$F$98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<sst xmlns="http://schemas.openxmlformats.org/spreadsheetml/2006/main" count="385" uniqueCount="236">
  <si>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</si>
  <si>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</si>
  <si>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</si>
  <si>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</si>
  <si>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</si>
  <si>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</si>
  <si>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</si>
  <si>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</si>
  <si>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</si>
  <si>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</si>
  <si>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</si>
  <si>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</si>
  <si>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</si>
  <si>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</si>
  <si>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</si>
  <si>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</si>
  <si>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</si>
  <si>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</si>
  <si>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</si>
  <si>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</si>
  <si>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</si>
  <si>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</si>
  <si>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</si>
  <si>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</si>
  <si>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</si>
  <si>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</si>
  <si>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</si>
  <si>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</si>
  <si>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</si>
  <si>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</si>
  <si>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</si>
  <si>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</si>
  <si>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</si>
  <si>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</si>
  <si>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</si>
  <si>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</si>
  <si>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</si>
  <si>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</si>
  <si>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</si>
  <si>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</si>
  <si>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</si>
  <si>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</si>
  <si>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</si>
  <si>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</si>
  <si>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</si>
  <si>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</si>
  <si>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</si>
  <si>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</si>
  <si>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</si>
  <si>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</si>
  <si>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</si>
  <si>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</si>
  <si>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</si>
  <si>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</si>
  <si>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</si>
  <si>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</si>
  <si>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</si>
  <si>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</si>
  <si>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</si>
  <si>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</si>
  <si>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</si>
  <si>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</si>
  <si>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</si>
  <si>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</si>
  <si>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</si>
  <si>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</si>
  <si>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</si>
  <si>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</si>
  <si>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</si>
  <si>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</si>
  <si>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</si>
  <si>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</si>
  <si>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</si>
  <si>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</si>
  <si>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</si>
  <si>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</si>
  <si>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</si>
  <si>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</si>
  <si>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</si>
  <si>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</si>
  <si>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</si>
  <si>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</si>
  <si>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</si>
  <si>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</si>
  <si>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</si>
  <si>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</si>
  <si>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</si>
  <si>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</si>
  <si>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</si>
  <si>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</si>
  <si>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</si>
  <si>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</si>
  <si>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</si>
  <si>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</si>
  <si>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</si>
  <si>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</si>
  <si>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</si>
  <si>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</si>
  <si>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</si>
  <si>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</si>
  <si>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</si>
  <si>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</si>
  <si>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</si>
  <si>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</si>
  <si>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</si>
  <si>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</si>
  <si>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</si>
  <si>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</si>
  <si>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</si>
  <si>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</si>
  <si>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</si>
  <si>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</si>
  <si>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</si>
  <si>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</si>
  <si>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</si>
  <si>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</si>
  <si>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</si>
  <si>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</si>
  <si>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</si>
  <si>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</si>
  <si>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</si>
  <si>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</si>
  <si>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</si>
  <si>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</si>
  <si>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</si>
  <si>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</si>
  <si>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</si>
  <si>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</si>
  <si>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</si>
  <si>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</si>
  <si>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</si>
  <si>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</si>
  <si>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</si>
  <si>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</si>
  <si>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</si>
  <si>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</si>
  <si>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</si>
  <si>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</si>
  <si>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</si>
  <si>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</si>
  <si>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</si>
  <si>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</si>
  <si>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</si>
  <si>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</si>
  <si>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</si>
  <si>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</si>
  <si>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</si>
  <si>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</si>
  <si>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</si>
  <si>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</si>
  <si>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</si>
  <si>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</si>
  <si>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</si>
  <si>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</si>
  <si>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</si>
  <si>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</si>
  <si>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</si>
  <si>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</si>
  <si>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</si>
  <si>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</si>
  <si>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</si>
  <si>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</si>
  <si>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</si>
  <si>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</si>
  <si>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</si>
  <si>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</si>
  <si>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</si>
  <si>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</si>
  <si>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</si>
  <si>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</si>
  <si>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</si>
  <si>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</si>
  <si>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</si>
  <si>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</si>
  <si>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</si>
  <si>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</si>
  <si>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</si>
  <si>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</si>
  <si>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</si>
  <si>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</si>
  <si>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</si>
  <si>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</si>
  <si>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</si>
  <si>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</si>
  <si>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</si>
  <si>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</si>
  <si>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</si>
  <si>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</si>
  <si>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XVI -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</si>
  <si>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</si>
  <si>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</si>
  <si>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</si>
  <si>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</si>
  <si>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</si>
  <si>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</si>
  <si>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</si>
  <si>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</si>
  <si>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</si>
  <si>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</si>
  <si>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PRESUPUESTADO EJERCICIO 2016 (4)</t>
  </si>
  <si>
    <t>EJECUTADO EJERCICIO 2016 (3)</t>
  </si>
  <si>
    <t>(4)Cifras del Presupuesto del ejercicio 2016</t>
  </si>
  <si>
    <t>PRESUPUESTADO EJERCICIO 2016 (6)</t>
  </si>
  <si>
    <t>EJECUTADO EJERCICIO 2016 (5)</t>
  </si>
  <si>
    <t>(6)Cifras del Presupuesto del ejercicio 2016</t>
  </si>
  <si>
    <t>PRESUPUESTADO EJERCICIO 2016 (5)</t>
  </si>
  <si>
    <t>EJECUTADO EJERCICIO 2016 (2)</t>
  </si>
  <si>
    <t>(5) Cifras del Presupuesto Anual 2016</t>
  </si>
  <si>
    <t>(5) Cifras del Presupuesto Anual 2016.</t>
  </si>
  <si>
    <t>EJECUTADO EJERCICIO 2016 (1)</t>
  </si>
  <si>
    <t>CONTRIBUCION PARA APLIC. FINANCIERAS</t>
  </si>
  <si>
    <t>GASTOS FIGURATIVOS P/APLICACIONES FINANCIERAS</t>
  </si>
  <si>
    <t>XVII-</t>
  </si>
  <si>
    <t>FINANCIAMIENTO NETO (XIV-XV+XVI-XVII)</t>
  </si>
  <si>
    <t>XVIII -</t>
  </si>
  <si>
    <t>I.A) DATOS DEL MES DE SEPTIEMBRE DE 2016</t>
  </si>
  <si>
    <t>(2)Corresponde a la ejecución del mes de Septiembre de 2015.</t>
  </si>
  <si>
    <t>(3)Corresponde a la ejecución presupuestaria del mes de Septiembre  de 2016</t>
  </si>
  <si>
    <t>(4)Corresponde a la ejecución del mes de Septiembre de 2015</t>
  </si>
  <si>
    <t>(5)Corresponde a la ejecución presupuestaria del mes de Septiembre de 2016</t>
  </si>
  <si>
    <t>I.B) DATOS ACUMULADOS AL MES DE SEPTIEMBRE DE 2016</t>
  </si>
  <si>
    <t>(2)Corresponde a la ejecución acumulada al mes de Septiembre de 2015.</t>
  </si>
  <si>
    <t>(3)Corresponde a la ejecución presupuestaria acumulada al mes de Septiembre  de 2016</t>
  </si>
  <si>
    <t>(4)Corresponde a la ejecución acumulada al mes de Septiembre de 2015</t>
  </si>
  <si>
    <t>(5)Corresponde a la ejecución presupuestaria acumulada al mes de Septiembre de 2016</t>
  </si>
  <si>
    <t>II-A) DATOS DEL MES DE SEPTIEMBRE DE 2016</t>
  </si>
  <si>
    <t>(2) Ejecución presupuestaria del mes de Septiembre 2016 (Incluye déficit de la Caja de Jubilaciones y Pens.)</t>
  </si>
  <si>
    <t>(3) Cifras de la ejecución presupuestaria del mes de Septiembre de 2015</t>
  </si>
  <si>
    <t>(2) Ejecución presupuestaria del mes de Septiembre 2016.(Incluye déficit de la Caja de Jubilaciones y Pens.)</t>
  </si>
  <si>
    <t>(3) Cifras de la ejecución presupuestaria del mes de Septiembre de 2015.</t>
  </si>
  <si>
    <t>II-B) DATOS ACUMULADOS AL MES DE SEPTIEMBRE DE 2016</t>
  </si>
  <si>
    <t>(2) Ejecución presupuestaria acumulada al mes de Septiembre 2016 (Incluye déficit de la Caja de Jubilaciones y Pens.)</t>
  </si>
  <si>
    <t>(3) Cifras de la ejecución presupuestaria acumulada al mes de Septiembre de 2015.</t>
  </si>
  <si>
    <t>(1) Corresponde a la ejecución acumulada al mes de Septiembre de 2016.</t>
  </si>
  <si>
    <t>(2) Cifras de ejecución acumulada al mes de Septiembre de 2015.</t>
  </si>
  <si>
    <t>Ejecución presupuestaria acumulada al mes de Septiembre 2016.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</si>
</sst>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 ;[Red]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4" fontId="3" fillId="35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Municipios%20y%20Comunas\Fondo%20Federal%20Solidario\2016%20CON%20CRITERIO%20DE%20PAGADO\Copia%20de%201er%20Sem%20transferido%20-DIEGO-%20por%20MM%20y%20CC%20p%20Departamen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Municipios%20y%20Comunas\Fondo%20Federal%20Solidario\2016%20CON%20CRITERIO%20DE%20PAGADO\Copia%20de%202do.%20Sem-16%20%20-DIEGO-Transferido%20%20MM%20y%20CC%20por%20departamen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AN&#193;LISIS%20DE%20LAS%20FINANZAS\Cuadros\A&#241;o%20a%20A&#241;o\EAI%202016\EAI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devengado"/>
    </sheetNames>
    <sheetDataSet>
      <sheetData sheetId="0">
        <row r="384">
          <cell r="O384">
            <v>309209424.63399994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devengado"/>
    </sheetNames>
    <sheetDataSet>
      <sheetData sheetId="0">
        <row r="405">
          <cell r="C405">
            <v>55652195.42</v>
          </cell>
          <cell r="E405">
            <v>30880966.809999995</v>
          </cell>
          <cell r="G405">
            <v>34153226.839999996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IAC-INTERANUAL REC-GTOS CTES"/>
      <sheetName val="INV-REAL-DIR-ACUMULADA"/>
      <sheetName val="INCREMENTOS 2015-2016"/>
      <sheetName val="CUADROS P GRAFICOS NUEVOS"/>
      <sheetName val="EAI2016"/>
      <sheetName val="RTDO-ECON"/>
      <sheetName val="RTDO-ECONO-MENSUAL-ACUM"/>
      <sheetName val="RESFINSCONT"/>
      <sheetName val="RDO-FINANC-ANTES-CONTRIBUCIONES"/>
      <sheetName val="RESFINCCONT"/>
      <sheetName val="TOTAL1"/>
      <sheetName val="TOTAL2"/>
      <sheetName val="A.CTRAL1"/>
      <sheetName val="A.CTRAL2"/>
      <sheetName val="DESC.1"/>
      <sheetName val="DESC.2"/>
      <sheetName val="ISS1"/>
      <sheetName val="ISS2"/>
      <sheetName val="Ing.Trib.Prov"/>
      <sheetName val="Ing.Trib.Adm.Ctral"/>
      <sheetName val="ing.Trib.Adm.Ctral.Torta"/>
      <sheetName val="Hoja1"/>
      <sheetName val="Hoja2"/>
    </sheetNames>
    <sheetDataSet>
      <sheetData sheetId="4">
        <row r="10">
          <cell r="EE10">
            <v>13635003.41</v>
          </cell>
        </row>
        <row r="13">
          <cell r="EE13">
            <v>40.587</v>
          </cell>
        </row>
        <row r="14">
          <cell r="EE14">
            <v>2004167.494</v>
          </cell>
        </row>
        <row r="15">
          <cell r="EE15">
            <v>158707.025</v>
          </cell>
        </row>
        <row r="16">
          <cell r="EE16">
            <v>894810.4839999999</v>
          </cell>
        </row>
        <row r="19">
          <cell r="EE19">
            <v>15291575.104</v>
          </cell>
        </row>
        <row r="20">
          <cell r="EE20">
            <v>1329590.031</v>
          </cell>
        </row>
        <row r="21">
          <cell r="EE21">
            <v>809584.049</v>
          </cell>
        </row>
        <row r="23">
          <cell r="EE23">
            <v>2340931.354</v>
          </cell>
        </row>
        <row r="24">
          <cell r="EE24">
            <v>17109040.29</v>
          </cell>
        </row>
        <row r="26">
          <cell r="EE26">
            <v>7266074.047</v>
          </cell>
        </row>
        <row r="27">
          <cell r="EE27">
            <v>50467.756</v>
          </cell>
        </row>
        <row r="28">
          <cell r="EE28">
            <v>136116.749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7109375" style="0" customWidth="1"/>
    <col min="4" max="4" width="15.7109375" style="0" customWidth="1"/>
    <col min="5" max="5" width="19.14062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215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199</v>
      </c>
      <c r="C6" s="6" t="s">
        <v>200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101200.075</v>
      </c>
      <c r="C7" s="30">
        <f>SUM(C8:C11)</f>
        <v>10535.760000000002</v>
      </c>
      <c r="D7" s="30">
        <f>+C7/$C$16*100</f>
        <v>97.23058181868521</v>
      </c>
      <c r="E7" s="30">
        <v>7181.755000000001</v>
      </c>
      <c r="F7" s="23"/>
      <c r="G7" s="24"/>
    </row>
    <row r="8" spans="1:8" ht="16.5" customHeight="1">
      <c r="A8" s="4" t="s">
        <v>4</v>
      </c>
      <c r="B8" s="29">
        <v>72716.405</v>
      </c>
      <c r="C8" s="29">
        <v>7385.14</v>
      </c>
      <c r="D8" s="29">
        <f aca="true" t="shared" si="0" ref="D8:D16">+C8/$C$16*100</f>
        <v>68.15469021811855</v>
      </c>
      <c r="E8" s="29">
        <v>4900.149</v>
      </c>
      <c r="F8" s="25"/>
      <c r="G8" s="26"/>
      <c r="H8" s="41"/>
    </row>
    <row r="9" spans="1:8" ht="16.5" customHeight="1">
      <c r="A9" s="4" t="s">
        <v>5</v>
      </c>
      <c r="B9" s="29">
        <v>17919.446</v>
      </c>
      <c r="C9" s="29">
        <v>1881.74</v>
      </c>
      <c r="D9" s="29">
        <f t="shared" si="0"/>
        <v>17.365873466317822</v>
      </c>
      <c r="E9" s="29">
        <v>1430.05</v>
      </c>
      <c r="F9" s="25"/>
      <c r="G9" s="26"/>
      <c r="H9" s="41"/>
    </row>
    <row r="10" spans="1:8" ht="16.5" customHeight="1">
      <c r="A10" s="4" t="s">
        <v>6</v>
      </c>
      <c r="B10" s="29">
        <v>5084.777</v>
      </c>
      <c r="C10" s="29">
        <v>618.92</v>
      </c>
      <c r="D10" s="29">
        <f t="shared" si="0"/>
        <v>5.711780801690683</v>
      </c>
      <c r="E10" s="29">
        <v>458.484</v>
      </c>
      <c r="F10" s="25"/>
      <c r="G10" s="26"/>
      <c r="H10" s="41"/>
    </row>
    <row r="11" spans="1:8" ht="16.5" customHeight="1">
      <c r="A11" s="4" t="s">
        <v>7</v>
      </c>
      <c r="B11" s="29">
        <v>5479.447</v>
      </c>
      <c r="C11" s="29">
        <v>649.96</v>
      </c>
      <c r="D11" s="29">
        <f t="shared" si="0"/>
        <v>5.998237332558128</v>
      </c>
      <c r="E11" s="29">
        <v>393.072</v>
      </c>
      <c r="F11" s="25"/>
      <c r="G11" s="26"/>
      <c r="H11" s="41"/>
    </row>
    <row r="12" spans="1:7" ht="16.5" customHeight="1">
      <c r="A12" s="9" t="s">
        <v>8</v>
      </c>
      <c r="B12" s="30">
        <v>2469.081</v>
      </c>
      <c r="C12" s="30">
        <f>SUM(C13:C15)</f>
        <v>300.09</v>
      </c>
      <c r="D12" s="30">
        <f t="shared" si="0"/>
        <v>2.7694181813148018</v>
      </c>
      <c r="E12" s="30">
        <v>118.327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>
        <v>0.002</v>
      </c>
      <c r="F13" s="25"/>
      <c r="G13" s="26"/>
      <c r="H13" s="41"/>
    </row>
    <row r="14" spans="1:8" ht="16.5" customHeight="1">
      <c r="A14" s="4" t="s">
        <v>10</v>
      </c>
      <c r="B14" s="29">
        <v>2294.496</v>
      </c>
      <c r="C14" s="29">
        <v>282.58</v>
      </c>
      <c r="D14" s="29">
        <f t="shared" si="0"/>
        <v>2.6078249514343583</v>
      </c>
      <c r="E14" s="29">
        <v>102.116</v>
      </c>
      <c r="F14" s="25"/>
      <c r="G14" s="26"/>
      <c r="H14" s="41"/>
    </row>
    <row r="15" spans="1:8" ht="16.5" customHeight="1">
      <c r="A15" s="4" t="s">
        <v>11</v>
      </c>
      <c r="B15" s="29">
        <v>174.585</v>
      </c>
      <c r="C15" s="29">
        <v>17.51</v>
      </c>
      <c r="D15" s="29">
        <f t="shared" si="0"/>
        <v>0.16159322988044314</v>
      </c>
      <c r="E15" s="29">
        <v>16.209</v>
      </c>
      <c r="F15" s="25"/>
      <c r="G15" s="26"/>
      <c r="H15" s="41"/>
    </row>
    <row r="16" spans="1:7" ht="16.5" customHeight="1">
      <c r="A16" s="10" t="s">
        <v>13</v>
      </c>
      <c r="B16" s="32">
        <v>103669.156</v>
      </c>
      <c r="C16" s="32">
        <f>+C12+C7</f>
        <v>10835.850000000002</v>
      </c>
      <c r="D16" s="32">
        <f t="shared" si="0"/>
        <v>100</v>
      </c>
      <c r="E16" s="32">
        <v>7300.082000000001</v>
      </c>
      <c r="F16" s="23"/>
      <c r="G16" s="24"/>
    </row>
    <row r="17" spans="1:6" ht="33.75" customHeight="1">
      <c r="A17" s="119" t="s">
        <v>14</v>
      </c>
      <c r="B17" s="119"/>
      <c r="C17" s="119"/>
      <c r="D17" s="119"/>
      <c r="E17" s="119"/>
      <c r="F17" s="20"/>
    </row>
    <row r="18" spans="1:6" ht="16.5" customHeight="1">
      <c r="A18" s="121" t="s">
        <v>216</v>
      </c>
      <c r="B18" s="121"/>
      <c r="C18" s="121"/>
      <c r="D18" s="121"/>
      <c r="E18" s="121"/>
      <c r="F18" s="33"/>
    </row>
    <row r="19" spans="1:6" ht="16.5" customHeight="1">
      <c r="A19" t="s">
        <v>217</v>
      </c>
      <c r="B19" s="33"/>
      <c r="C19" s="33"/>
      <c r="D19" s="33"/>
      <c r="E19" s="33"/>
      <c r="F19" s="33"/>
    </row>
    <row r="20" spans="1:6" ht="16.5" customHeight="1">
      <c r="A20" t="s">
        <v>201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192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SEPTIEMBRE DE 2016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202</v>
      </c>
      <c r="C30" s="6" t="s">
        <v>203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72716.405</v>
      </c>
      <c r="C31" s="30">
        <f>+C32+C38</f>
        <v>7385.135</v>
      </c>
      <c r="D31" s="30">
        <f aca="true" t="shared" si="1" ref="D31:D48">+C31/$C$49*100</f>
        <v>68.15466294420732</v>
      </c>
      <c r="E31" s="30">
        <v>4900.146000000001</v>
      </c>
      <c r="F31" s="28"/>
    </row>
    <row r="32" spans="1:6" ht="16.5" customHeight="1">
      <c r="A32" s="4" t="s">
        <v>61</v>
      </c>
      <c r="B32" s="29">
        <v>26297.234000000004</v>
      </c>
      <c r="C32" s="29">
        <f>SUM(C33:C37)</f>
        <v>2723.122</v>
      </c>
      <c r="D32" s="29">
        <f t="shared" si="1"/>
        <v>25.13067967829372</v>
      </c>
      <c r="E32" s="29">
        <v>1747.185</v>
      </c>
      <c r="F32" s="28"/>
    </row>
    <row r="33" spans="1:6" ht="16.5" customHeight="1">
      <c r="A33" s="4" t="s">
        <v>62</v>
      </c>
      <c r="B33" s="29">
        <v>21169.918</v>
      </c>
      <c r="C33" s="29">
        <v>2178.509</v>
      </c>
      <c r="D33" s="29">
        <f t="shared" si="1"/>
        <v>20.1046489489931</v>
      </c>
      <c r="E33" s="29">
        <v>1374.734</v>
      </c>
      <c r="F33" s="28"/>
    </row>
    <row r="34" spans="1:6" ht="16.5" customHeight="1">
      <c r="A34" s="4" t="s">
        <v>63</v>
      </c>
      <c r="B34" s="29">
        <v>214.769</v>
      </c>
      <c r="C34" s="29">
        <v>29.486</v>
      </c>
      <c r="D34" s="29">
        <f t="shared" si="1"/>
        <v>0.2721153224108831</v>
      </c>
      <c r="E34" s="29">
        <v>20.289</v>
      </c>
      <c r="F34" s="28"/>
    </row>
    <row r="35" spans="1:6" ht="16.5" customHeight="1">
      <c r="A35" s="4" t="s">
        <v>64</v>
      </c>
      <c r="B35" s="29">
        <v>2099</v>
      </c>
      <c r="C35" s="29">
        <v>182.53</v>
      </c>
      <c r="D35" s="29">
        <f t="shared" si="1"/>
        <v>1.6845014515247403</v>
      </c>
      <c r="E35" s="29">
        <v>137.922</v>
      </c>
      <c r="F35" s="28"/>
    </row>
    <row r="36" spans="1:6" ht="16.5" customHeight="1">
      <c r="A36" s="4" t="s">
        <v>65</v>
      </c>
      <c r="B36" s="29">
        <v>2769.578</v>
      </c>
      <c r="C36" s="29">
        <v>326.12</v>
      </c>
      <c r="D36" s="29">
        <f t="shared" si="1"/>
        <v>3.009640132423428</v>
      </c>
      <c r="E36" s="29">
        <v>209.844</v>
      </c>
      <c r="F36" s="28"/>
    </row>
    <row r="37" spans="1:6" ht="16.5" customHeight="1">
      <c r="A37" s="4" t="s">
        <v>66</v>
      </c>
      <c r="B37" s="29">
        <v>43.969</v>
      </c>
      <c r="C37" s="29">
        <v>6.477</v>
      </c>
      <c r="D37" s="29">
        <f t="shared" si="1"/>
        <v>0.05977382294157531</v>
      </c>
      <c r="E37" s="29">
        <v>4.396</v>
      </c>
      <c r="F37" s="28"/>
    </row>
    <row r="38" spans="1:6" ht="16.5" customHeight="1">
      <c r="A38" s="4" t="s">
        <v>67</v>
      </c>
      <c r="B38" s="29">
        <v>46419.170999999995</v>
      </c>
      <c r="C38" s="29">
        <f>SUM(C39:C45)</f>
        <v>4662.013</v>
      </c>
      <c r="D38" s="29">
        <f t="shared" si="1"/>
        <v>43.02398326591359</v>
      </c>
      <c r="E38" s="29">
        <v>3152.9610000000002</v>
      </c>
      <c r="F38" s="28"/>
    </row>
    <row r="39" spans="1:6" ht="16.5" customHeight="1">
      <c r="A39" s="4" t="s">
        <v>68</v>
      </c>
      <c r="B39" s="29">
        <v>20223.767</v>
      </c>
      <c r="C39" s="29">
        <v>1483.827</v>
      </c>
      <c r="D39" s="29">
        <f t="shared" si="1"/>
        <v>13.693687258596398</v>
      </c>
      <c r="E39" s="29">
        <v>1317.86</v>
      </c>
      <c r="F39" s="28"/>
    </row>
    <row r="40" spans="1:6" ht="16.5" customHeight="1">
      <c r="A40" s="4" t="s">
        <v>69</v>
      </c>
      <c r="B40" s="29">
        <v>1251.791</v>
      </c>
      <c r="C40" s="29">
        <v>32.884</v>
      </c>
      <c r="D40" s="29">
        <f t="shared" si="1"/>
        <v>0.30347420003254016</v>
      </c>
      <c r="E40" s="29">
        <v>35.706</v>
      </c>
      <c r="F40" s="28"/>
    </row>
    <row r="41" spans="1:6" ht="16.5" customHeight="1">
      <c r="A41" s="4" t="s">
        <v>70</v>
      </c>
      <c r="B41" s="29">
        <v>19807.816</v>
      </c>
      <c r="C41" s="29">
        <v>1947.854</v>
      </c>
      <c r="D41" s="29">
        <f t="shared" si="1"/>
        <v>17.976019779533615</v>
      </c>
      <c r="E41" s="29">
        <v>1440.219</v>
      </c>
      <c r="F41" s="28"/>
    </row>
    <row r="42" spans="1:6" ht="16.5" customHeight="1">
      <c r="A42" s="4" t="s">
        <v>71</v>
      </c>
      <c r="B42" s="29">
        <v>1678.3</v>
      </c>
      <c r="C42" s="29">
        <v>195.594</v>
      </c>
      <c r="D42" s="29">
        <f t="shared" si="1"/>
        <v>1.8050642464774558</v>
      </c>
      <c r="E42" s="29">
        <v>112.969</v>
      </c>
      <c r="F42" s="28"/>
    </row>
    <row r="43" spans="1:6" ht="16.5" customHeight="1">
      <c r="A43" s="4" t="s">
        <v>72</v>
      </c>
      <c r="B43" s="29">
        <v>1219.077</v>
      </c>
      <c r="C43" s="29">
        <v>96.725</v>
      </c>
      <c r="D43" s="29">
        <f t="shared" si="1"/>
        <v>0.8926390341244206</v>
      </c>
      <c r="E43" s="29">
        <v>86.213</v>
      </c>
      <c r="F43" s="28"/>
    </row>
    <row r="44" spans="1:6" ht="16.5" customHeight="1">
      <c r="A44" s="4" t="s">
        <v>73</v>
      </c>
      <c r="B44" s="29">
        <v>171.489</v>
      </c>
      <c r="C44" s="29">
        <v>11.791</v>
      </c>
      <c r="D44" s="29">
        <f t="shared" si="1"/>
        <v>0.10881475162947576</v>
      </c>
      <c r="E44" s="29">
        <v>11.791</v>
      </c>
      <c r="F44" s="28"/>
    </row>
    <row r="45" spans="1:6" ht="16.5" customHeight="1">
      <c r="A45" s="4" t="s">
        <v>66</v>
      </c>
      <c r="B45" s="29">
        <v>2066.931</v>
      </c>
      <c r="C45" s="29">
        <v>893.338</v>
      </c>
      <c r="D45" s="29">
        <f t="shared" si="1"/>
        <v>8.244283995519686</v>
      </c>
      <c r="E45" s="29">
        <v>148.203</v>
      </c>
      <c r="F45" s="28"/>
    </row>
    <row r="46" spans="1:6" ht="18" customHeight="1">
      <c r="A46" s="9" t="s">
        <v>89</v>
      </c>
      <c r="B46" s="30">
        <v>5084.777</v>
      </c>
      <c r="C46" s="30">
        <v>618.916</v>
      </c>
      <c r="D46" s="30">
        <f t="shared" si="1"/>
        <v>5.711745468536055</v>
      </c>
      <c r="E46" s="30">
        <v>458.484</v>
      </c>
      <c r="F46" s="28"/>
    </row>
    <row r="47" spans="1:6" ht="30">
      <c r="A47" s="34" t="s">
        <v>74</v>
      </c>
      <c r="B47" s="36">
        <v>25815.67</v>
      </c>
      <c r="C47" s="36">
        <f>10835.85-8005.09</f>
        <v>2830.76</v>
      </c>
      <c r="D47" s="36">
        <f t="shared" si="1"/>
        <v>26.12403072874691</v>
      </c>
      <c r="E47" s="36">
        <v>1941.4399999999996</v>
      </c>
      <c r="F47" s="28"/>
    </row>
    <row r="48" spans="1:6" ht="19.5" customHeight="1">
      <c r="A48" s="35" t="s">
        <v>75</v>
      </c>
      <c r="B48" s="36">
        <v>52.31</v>
      </c>
      <c r="C48" s="36">
        <f>-2.16+2.81+0.386</f>
        <v>1.036</v>
      </c>
      <c r="D48" s="36">
        <f t="shared" si="1"/>
        <v>0.009560858509722405</v>
      </c>
      <c r="E48" s="36">
        <v>0.004999999999999005</v>
      </c>
      <c r="F48" s="28"/>
    </row>
    <row r="49" spans="1:6" ht="19.5" customHeight="1">
      <c r="A49" s="37" t="s">
        <v>76</v>
      </c>
      <c r="B49" s="36">
        <v>103669.162</v>
      </c>
      <c r="C49" s="36">
        <f>+C47+C48+C31+C46</f>
        <v>10835.847</v>
      </c>
      <c r="D49" s="36">
        <f>+C49/$C$49*100</f>
        <v>100</v>
      </c>
      <c r="E49" s="36">
        <v>7300.075000000001</v>
      </c>
      <c r="F49" s="28"/>
    </row>
    <row r="50" spans="1:5" ht="48.75" customHeight="1">
      <c r="A50" s="120" t="s">
        <v>90</v>
      </c>
      <c r="B50" s="120"/>
      <c r="C50" s="120"/>
      <c r="D50" s="120"/>
      <c r="E50" s="120"/>
    </row>
    <row r="51" spans="1:5" ht="21.7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21" customHeight="1">
      <c r="A53" t="s">
        <v>218</v>
      </c>
      <c r="B53" s="33"/>
      <c r="C53" s="33"/>
      <c r="D53" s="33"/>
      <c r="E53" s="33"/>
    </row>
    <row r="54" ht="21" customHeight="1">
      <c r="A54" t="s">
        <v>219</v>
      </c>
    </row>
    <row r="55" ht="15">
      <c r="A55" t="s">
        <v>204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220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199</v>
      </c>
      <c r="C65" s="6" t="s">
        <v>200</v>
      </c>
      <c r="D65" s="6" t="s">
        <v>12</v>
      </c>
      <c r="E65" s="6" t="s">
        <v>80</v>
      </c>
    </row>
    <row r="66" spans="1:5" ht="15">
      <c r="A66" s="9" t="s">
        <v>3</v>
      </c>
      <c r="B66" s="30">
        <v>101200.075</v>
      </c>
      <c r="C66" s="30">
        <f>SUM(C67:C70)</f>
        <v>85681.03</v>
      </c>
      <c r="D66" s="30">
        <f>+C66/$C$75*100</f>
        <v>97.72978647975073</v>
      </c>
      <c r="E66" s="30">
        <v>58879.59</v>
      </c>
    </row>
    <row r="67" spans="1:5" ht="15">
      <c r="A67" s="4" t="s">
        <v>4</v>
      </c>
      <c r="B67" s="29">
        <v>72716.405</v>
      </c>
      <c r="C67" s="29">
        <v>61026.11</v>
      </c>
      <c r="D67" s="29">
        <f>+C67/$C$75*100</f>
        <v>69.60780816932034</v>
      </c>
      <c r="E67" s="29">
        <v>41616.441</v>
      </c>
    </row>
    <row r="68" spans="1:5" ht="15">
      <c r="A68" s="4" t="s">
        <v>5</v>
      </c>
      <c r="B68" s="29">
        <v>17919.446</v>
      </c>
      <c r="C68" s="29">
        <v>14806.7</v>
      </c>
      <c r="D68" s="29">
        <f aca="true" t="shared" si="2" ref="D68:D75">+C68/$C$75*100</f>
        <v>16.88886827655696</v>
      </c>
      <c r="E68" s="29">
        <v>10622.593</v>
      </c>
    </row>
    <row r="69" spans="1:5" ht="15">
      <c r="A69" s="4" t="s">
        <v>6</v>
      </c>
      <c r="B69" s="29">
        <v>5084.777</v>
      </c>
      <c r="C69" s="29">
        <v>5000.97</v>
      </c>
      <c r="D69" s="29">
        <f t="shared" si="2"/>
        <v>5.704223330317563</v>
      </c>
      <c r="E69" s="29">
        <v>3722.842</v>
      </c>
    </row>
    <row r="70" spans="1:5" ht="15">
      <c r="A70" s="4" t="s">
        <v>7</v>
      </c>
      <c r="B70" s="29">
        <v>5479.447</v>
      </c>
      <c r="C70" s="29">
        <v>4847.25</v>
      </c>
      <c r="D70" s="29">
        <f t="shared" si="2"/>
        <v>5.528886703555871</v>
      </c>
      <c r="E70" s="29">
        <v>2917.714</v>
      </c>
    </row>
    <row r="71" spans="1:5" ht="15">
      <c r="A71" s="9" t="s">
        <v>8</v>
      </c>
      <c r="B71" s="30">
        <v>2469.081</v>
      </c>
      <c r="C71" s="30">
        <f>SUM(C72:C74)</f>
        <v>1990.327</v>
      </c>
      <c r="D71" s="30">
        <f t="shared" si="2"/>
        <v>2.2702135202492646</v>
      </c>
      <c r="E71" s="30">
        <v>1468.2209999999998</v>
      </c>
    </row>
    <row r="72" spans="1:5" ht="15">
      <c r="A72" s="4" t="s">
        <v>9</v>
      </c>
      <c r="B72" s="29"/>
      <c r="C72" s="29">
        <v>0.047</v>
      </c>
      <c r="D72" s="29">
        <f t="shared" si="2"/>
        <v>5.36092991009595E-05</v>
      </c>
      <c r="E72" s="29">
        <v>0.05</v>
      </c>
    </row>
    <row r="73" spans="1:5" ht="15">
      <c r="A73" s="4" t="s">
        <v>10</v>
      </c>
      <c r="B73" s="29">
        <v>2294.496</v>
      </c>
      <c r="C73" s="29">
        <v>1834.11</v>
      </c>
      <c r="D73" s="29">
        <f t="shared" si="2"/>
        <v>2.092028756894911</v>
      </c>
      <c r="E73" s="29">
        <v>1346.254</v>
      </c>
    </row>
    <row r="74" spans="1:5" ht="15">
      <c r="A74" s="4" t="s">
        <v>11</v>
      </c>
      <c r="B74" s="29">
        <v>174.585</v>
      </c>
      <c r="C74" s="29">
        <v>156.17</v>
      </c>
      <c r="D74" s="29">
        <f t="shared" si="2"/>
        <v>0.17813115405525204</v>
      </c>
      <c r="E74" s="29">
        <v>121.917</v>
      </c>
    </row>
    <row r="75" spans="1:5" ht="15">
      <c r="A75" s="10" t="s">
        <v>13</v>
      </c>
      <c r="B75" s="32">
        <v>103669.156</v>
      </c>
      <c r="C75" s="32">
        <f>+C71+C66</f>
        <v>87671.357</v>
      </c>
      <c r="D75" s="32">
        <f t="shared" si="2"/>
        <v>100</v>
      </c>
      <c r="E75" s="32">
        <v>60347.810999999994</v>
      </c>
    </row>
    <row r="76" spans="1:5" ht="31.5" customHeight="1">
      <c r="A76" s="120" t="s">
        <v>14</v>
      </c>
      <c r="B76" s="120"/>
      <c r="C76" s="120"/>
      <c r="D76" s="120"/>
      <c r="E76" s="120"/>
    </row>
    <row r="77" spans="1:5" ht="15">
      <c r="A77" s="121" t="s">
        <v>221</v>
      </c>
      <c r="B77" s="121"/>
      <c r="C77" s="121"/>
      <c r="D77" s="121"/>
      <c r="E77" s="121"/>
    </row>
    <row r="78" spans="1:5" ht="15">
      <c r="A78" t="s">
        <v>222</v>
      </c>
      <c r="B78" s="50"/>
      <c r="C78" s="50"/>
      <c r="D78" s="50"/>
      <c r="E78" s="50"/>
    </row>
    <row r="79" spans="1:5" ht="15">
      <c r="A79" t="s">
        <v>201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SEPTIEMBRE DE 2016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34.5" customHeight="1">
      <c r="A89" s="5" t="s">
        <v>1</v>
      </c>
      <c r="B89" s="6" t="s">
        <v>202</v>
      </c>
      <c r="C89" s="6" t="s">
        <v>203</v>
      </c>
      <c r="D89" s="6" t="s">
        <v>12</v>
      </c>
      <c r="E89" s="6" t="s">
        <v>79</v>
      </c>
    </row>
    <row r="90" spans="1:5" ht="15">
      <c r="A90" s="9" t="s">
        <v>60</v>
      </c>
      <c r="B90" s="30">
        <v>72716.405</v>
      </c>
      <c r="C90" s="30">
        <f>+C91+C97</f>
        <v>61026.10838</v>
      </c>
      <c r="D90" s="30">
        <f>+C90/$C$108*100</f>
        <v>69.60780840169335</v>
      </c>
      <c r="E90" s="30">
        <v>41616.438</v>
      </c>
    </row>
    <row r="91" spans="1:5" ht="15">
      <c r="A91" s="4" t="s">
        <v>61</v>
      </c>
      <c r="B91" s="29">
        <v>26297.234000000004</v>
      </c>
      <c r="C91" s="29">
        <f>SUM(C92:C96)</f>
        <v>21663.313919</v>
      </c>
      <c r="D91" s="29">
        <f>+C91/$C$108*100</f>
        <v>24.709683193786653</v>
      </c>
      <c r="E91" s="29">
        <v>14939.287000000002</v>
      </c>
    </row>
    <row r="92" spans="1:5" ht="15">
      <c r="A92" s="4" t="s">
        <v>62</v>
      </c>
      <c r="B92" s="29">
        <v>21169.918</v>
      </c>
      <c r="C92" s="29">
        <f>'[3]EAI2016'!$EE$24/1000</f>
        <v>17109.04029</v>
      </c>
      <c r="D92" s="29">
        <f aca="true" t="shared" si="3" ref="D92:D108">+C92/$C$108*100</f>
        <v>19.51497203504249</v>
      </c>
      <c r="E92" s="29">
        <v>11729.429</v>
      </c>
    </row>
    <row r="93" spans="1:5" ht="15">
      <c r="A93" s="4" t="s">
        <v>63</v>
      </c>
      <c r="B93" s="29">
        <v>214.769</v>
      </c>
      <c r="C93" s="29">
        <f>'[3]EAI2016'!$EE$15/1000</f>
        <v>158.707025</v>
      </c>
      <c r="D93" s="29">
        <f t="shared" si="3"/>
        <v>0.18102494950871315</v>
      </c>
      <c r="E93" s="29">
        <v>114.074</v>
      </c>
    </row>
    <row r="94" spans="1:5" ht="15">
      <c r="A94" s="4" t="s">
        <v>64</v>
      </c>
      <c r="B94" s="29">
        <v>2099</v>
      </c>
      <c r="C94" s="29">
        <f>'[3]EAI2016'!$EE$14/1000</f>
        <v>2004.167494</v>
      </c>
      <c r="D94" s="29">
        <f t="shared" si="3"/>
        <v>2.2860003796829673</v>
      </c>
      <c r="E94" s="29">
        <v>1406.394</v>
      </c>
    </row>
    <row r="95" spans="1:5" ht="15">
      <c r="A95" s="4" t="s">
        <v>65</v>
      </c>
      <c r="B95" s="29">
        <v>2769.578</v>
      </c>
      <c r="C95" s="29">
        <f>'[3]EAI2016'!$EE$23/1000</f>
        <v>2340.931354</v>
      </c>
      <c r="D95" s="29">
        <f t="shared" si="3"/>
        <v>2.6701211251437265</v>
      </c>
      <c r="E95" s="29">
        <v>1652.6</v>
      </c>
    </row>
    <row r="96" spans="1:5" ht="15">
      <c r="A96" s="4" t="s">
        <v>66</v>
      </c>
      <c r="B96" s="29">
        <v>43.969</v>
      </c>
      <c r="C96" s="29">
        <f>'[3]EAI2016'!$EE$27/1000</f>
        <v>50.467756</v>
      </c>
      <c r="D96" s="29">
        <f t="shared" si="3"/>
        <v>0.05756470440875605</v>
      </c>
      <c r="E96" s="29">
        <v>36.79</v>
      </c>
    </row>
    <row r="97" spans="1:5" ht="15">
      <c r="A97" s="4" t="s">
        <v>67</v>
      </c>
      <c r="B97" s="29">
        <v>46419.170999999995</v>
      </c>
      <c r="C97" s="29">
        <f>SUM(C98:C104)</f>
        <v>39362.794461</v>
      </c>
      <c r="D97" s="29">
        <f t="shared" si="3"/>
        <v>44.8981252079067</v>
      </c>
      <c r="E97" s="29">
        <v>26677.151</v>
      </c>
    </row>
    <row r="98" spans="1:5" ht="15">
      <c r="A98" s="4" t="s">
        <v>68</v>
      </c>
      <c r="B98" s="29">
        <v>20223.767</v>
      </c>
      <c r="C98" s="29">
        <f>'[3]EAI2016'!$EE$10/1000</f>
        <v>13635.00341</v>
      </c>
      <c r="D98" s="29">
        <f t="shared" si="3"/>
        <v>15.552404210502853</v>
      </c>
      <c r="E98" s="29">
        <v>11840.7</v>
      </c>
    </row>
    <row r="99" spans="1:5" ht="15">
      <c r="A99" s="4" t="s">
        <v>69</v>
      </c>
      <c r="B99" s="29">
        <v>1251.791</v>
      </c>
      <c r="C99" s="29">
        <f>'[3]EAI2016'!$EE$16/1000</f>
        <v>894.810484</v>
      </c>
      <c r="D99" s="29">
        <f t="shared" si="3"/>
        <v>1.0206417938082275</v>
      </c>
      <c r="E99" s="29">
        <v>782.29</v>
      </c>
    </row>
    <row r="100" spans="1:5" ht="15">
      <c r="A100" s="4" t="s">
        <v>70</v>
      </c>
      <c r="B100" s="29">
        <v>19807.816</v>
      </c>
      <c r="C100" s="29">
        <f>'[3]EAI2016'!$EE$19/1000</f>
        <v>15291.575104</v>
      </c>
      <c r="D100" s="29">
        <f t="shared" si="3"/>
        <v>17.441928680285546</v>
      </c>
      <c r="E100" s="29">
        <v>11099.164</v>
      </c>
    </row>
    <row r="101" spans="1:5" ht="15">
      <c r="A101" s="4" t="s">
        <v>71</v>
      </c>
      <c r="B101" s="29">
        <v>1678.3</v>
      </c>
      <c r="C101" s="29">
        <f>'[3]EAI2016'!$EE$20/1000</f>
        <v>1329.590031</v>
      </c>
      <c r="D101" s="29">
        <f t="shared" si="3"/>
        <v>1.5165615273114934</v>
      </c>
      <c r="E101" s="29">
        <v>929.384</v>
      </c>
    </row>
    <row r="102" spans="1:5" ht="15">
      <c r="A102" s="4" t="s">
        <v>72</v>
      </c>
      <c r="B102" s="29">
        <v>1219.077</v>
      </c>
      <c r="C102" s="29">
        <f>'[3]EAI2016'!$EE$21/1000</f>
        <v>809.584049</v>
      </c>
      <c r="D102" s="29">
        <f t="shared" si="3"/>
        <v>0.9234305261111446</v>
      </c>
      <c r="E102" s="29">
        <v>673.419</v>
      </c>
    </row>
    <row r="103" spans="1:5" ht="15">
      <c r="A103" s="4" t="s">
        <v>73</v>
      </c>
      <c r="B103" s="29">
        <v>171.489</v>
      </c>
      <c r="C103" s="29">
        <f>'[3]EAI2016'!$EE$28/1000</f>
        <v>136.116749</v>
      </c>
      <c r="D103" s="29">
        <f t="shared" si="3"/>
        <v>0.155257951656615</v>
      </c>
      <c r="E103" s="29">
        <v>136.12</v>
      </c>
    </row>
    <row r="104" spans="1:5" ht="15">
      <c r="A104" s="4" t="s">
        <v>66</v>
      </c>
      <c r="B104" s="29">
        <v>2066.931</v>
      </c>
      <c r="C104" s="29">
        <f>('[3]EAI2016'!$EE$26+'[3]EAI2016'!$EE$13)/1000</f>
        <v>7266.1146340000005</v>
      </c>
      <c r="D104" s="29">
        <f t="shared" si="3"/>
        <v>8.287900518230822</v>
      </c>
      <c r="E104" s="29">
        <v>1216.074</v>
      </c>
    </row>
    <row r="105" spans="1:5" ht="21.75" customHeight="1">
      <c r="A105" s="9" t="s">
        <v>89</v>
      </c>
      <c r="B105" s="30">
        <v>5084.777</v>
      </c>
      <c r="C105" s="30">
        <v>5000.97</v>
      </c>
      <c r="D105" s="30">
        <f t="shared" si="3"/>
        <v>5.704223500784476</v>
      </c>
      <c r="E105" s="30">
        <v>3722.842</v>
      </c>
    </row>
    <row r="106" spans="1:5" ht="30">
      <c r="A106" s="34" t="s">
        <v>74</v>
      </c>
      <c r="B106" s="36">
        <v>25815.67</v>
      </c>
      <c r="C106" s="36">
        <f>87671.36-66030.28</f>
        <v>21641.08</v>
      </c>
      <c r="D106" s="36">
        <f t="shared" si="3"/>
        <v>24.684322665074358</v>
      </c>
      <c r="E106" s="36">
        <v>14991.009999999995</v>
      </c>
    </row>
    <row r="107" spans="1:5" ht="26.25" customHeight="1">
      <c r="A107" s="35" t="s">
        <v>75</v>
      </c>
      <c r="B107" s="36">
        <v>52.31</v>
      </c>
      <c r="C107" s="36">
        <f>0.386+2.81</f>
        <v>3.196</v>
      </c>
      <c r="D107" s="36">
        <f t="shared" si="3"/>
        <v>0.0036454324478065628</v>
      </c>
      <c r="E107" s="36">
        <v>17.517</v>
      </c>
    </row>
    <row r="108" spans="1:5" ht="15.75">
      <c r="A108" s="37" t="s">
        <v>76</v>
      </c>
      <c r="B108" s="36">
        <v>103669.162</v>
      </c>
      <c r="C108" s="36">
        <f>+C106+C107+C90+C105</f>
        <v>87671.35438</v>
      </c>
      <c r="D108" s="36">
        <f t="shared" si="3"/>
        <v>100</v>
      </c>
      <c r="E108" s="36">
        <v>60347.80699999999</v>
      </c>
    </row>
    <row r="109" spans="1:5" ht="51" customHeight="1">
      <c r="A109" s="120" t="s">
        <v>90</v>
      </c>
      <c r="B109" s="120"/>
      <c r="C109" s="120"/>
      <c r="D109" s="120"/>
      <c r="E109" s="120"/>
    </row>
    <row r="110" spans="1:5" ht="19.5" customHeight="1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223</v>
      </c>
      <c r="B112" s="50"/>
      <c r="C112" s="50"/>
      <c r="D112" s="50"/>
      <c r="E112" s="50"/>
    </row>
    <row r="113" ht="15">
      <c r="A113" t="s">
        <v>224</v>
      </c>
    </row>
    <row r="114" ht="15">
      <c r="A114" t="s">
        <v>204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">
      <selection activeCell="A2" sqref="A2:IV146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225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205</v>
      </c>
      <c r="C6" s="6" t="s">
        <v>206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91413.062</v>
      </c>
      <c r="C7" s="30">
        <f>+C8+C9+C13+C14+C15+C16</f>
        <v>9398.496219</v>
      </c>
      <c r="D7" s="30">
        <f aca="true" t="shared" si="0" ref="D7:D29">+C7/$C$30*100</f>
        <v>90.64247366721446</v>
      </c>
      <c r="E7" s="30">
        <v>7106.331</v>
      </c>
      <c r="F7" s="27"/>
      <c r="G7" s="38"/>
    </row>
    <row r="8" spans="1:7" ht="15">
      <c r="A8" s="12" t="s">
        <v>21</v>
      </c>
      <c r="B8" s="29">
        <v>40688.899</v>
      </c>
      <c r="C8" s="29">
        <v>4208.526</v>
      </c>
      <c r="D8" s="29">
        <f t="shared" si="0"/>
        <v>40.58853653221727</v>
      </c>
      <c r="E8" s="29">
        <v>3209.497</v>
      </c>
      <c r="F8" s="27"/>
      <c r="G8" s="27"/>
    </row>
    <row r="9" spans="1:7" ht="15">
      <c r="A9" s="12" t="s">
        <v>22</v>
      </c>
      <c r="B9" s="29">
        <v>12729.483</v>
      </c>
      <c r="C9" s="29">
        <f>SUM(C10:C12)</f>
        <v>1302.071</v>
      </c>
      <c r="D9" s="29">
        <f t="shared" si="0"/>
        <v>12.557640454411038</v>
      </c>
      <c r="E9" s="29">
        <v>1057.2620000000002</v>
      </c>
      <c r="F9" s="27"/>
      <c r="G9" s="27"/>
    </row>
    <row r="10" spans="1:7" ht="15">
      <c r="A10" s="12" t="s">
        <v>23</v>
      </c>
      <c r="B10" s="29">
        <v>2170.32</v>
      </c>
      <c r="C10" s="29">
        <v>158.57</v>
      </c>
      <c r="D10" s="29">
        <f t="shared" si="0"/>
        <v>1.5293060415722017</v>
      </c>
      <c r="E10" s="29">
        <v>142.848</v>
      </c>
      <c r="F10" s="27" t="s">
        <v>85</v>
      </c>
      <c r="G10" s="27"/>
    </row>
    <row r="11" spans="1:7" ht="15">
      <c r="A11" s="12" t="s">
        <v>24</v>
      </c>
      <c r="B11" s="29">
        <v>11130.893</v>
      </c>
      <c r="C11" s="29">
        <v>1140.787</v>
      </c>
      <c r="D11" s="29">
        <f t="shared" si="0"/>
        <v>11.002159621914785</v>
      </c>
      <c r="E11" s="29">
        <v>931.745</v>
      </c>
      <c r="F11" s="27"/>
      <c r="G11" s="27"/>
    </row>
    <row r="12" spans="1:7" ht="15">
      <c r="A12" s="12" t="s">
        <v>25</v>
      </c>
      <c r="B12" s="29">
        <v>-571.7299999999996</v>
      </c>
      <c r="C12" s="29">
        <v>2.714</v>
      </c>
      <c r="D12" s="29">
        <f t="shared" si="0"/>
        <v>0.02617479092405219</v>
      </c>
      <c r="E12" s="29">
        <v>-17.331</v>
      </c>
      <c r="F12" s="27"/>
      <c r="G12" s="27"/>
    </row>
    <row r="13" spans="1:7" ht="15">
      <c r="A13" s="12" t="s">
        <v>26</v>
      </c>
      <c r="B13" s="29">
        <v>172.5</v>
      </c>
      <c r="C13" s="29">
        <v>34.39</v>
      </c>
      <c r="D13" s="29">
        <f t="shared" si="0"/>
        <v>0.33166951358811897</v>
      </c>
      <c r="E13" s="29">
        <v>0.863</v>
      </c>
      <c r="F13" s="27"/>
      <c r="G13" s="27"/>
    </row>
    <row r="14" spans="1:7" ht="15">
      <c r="A14" s="12" t="s">
        <v>27</v>
      </c>
      <c r="B14" s="29">
        <v>16373.954</v>
      </c>
      <c r="C14" s="29">
        <v>1564.2</v>
      </c>
      <c r="D14" s="29">
        <f t="shared" si="0"/>
        <v>15.085706692484319</v>
      </c>
      <c r="E14" s="29">
        <v>1244.459</v>
      </c>
      <c r="F14" s="27"/>
      <c r="G14" s="27"/>
    </row>
    <row r="15" spans="1:7" ht="15">
      <c r="A15" s="12" t="s">
        <v>28</v>
      </c>
      <c r="B15" s="29">
        <v>3681.133</v>
      </c>
      <c r="C15" s="29">
        <v>422.4</v>
      </c>
      <c r="D15" s="29">
        <f t="shared" si="0"/>
        <v>4.073777334679309</v>
      </c>
      <c r="E15" s="29">
        <v>345.624</v>
      </c>
      <c r="F15" s="27"/>
      <c r="G15" s="27"/>
    </row>
    <row r="16" spans="1:7" ht="15">
      <c r="A16" s="12" t="s">
        <v>29</v>
      </c>
      <c r="B16" s="29">
        <v>17767.093</v>
      </c>
      <c r="C16" s="29">
        <f>+C17+C18+C21</f>
        <v>1866.9092190000003</v>
      </c>
      <c r="D16" s="29">
        <f t="shared" si="0"/>
        <v>18.005143139834402</v>
      </c>
      <c r="E16" s="29">
        <v>1248.6259999999997</v>
      </c>
      <c r="F16" s="27"/>
      <c r="G16" s="27"/>
    </row>
    <row r="17" spans="1:7" ht="15">
      <c r="A17" s="12" t="s">
        <v>30</v>
      </c>
      <c r="B17" s="29">
        <v>8089.624</v>
      </c>
      <c r="C17" s="29">
        <f>984870.819/1000</f>
        <v>984.870819</v>
      </c>
      <c r="D17" s="29">
        <f t="shared" si="0"/>
        <v>9.498447964084395</v>
      </c>
      <c r="E17" s="29">
        <v>629.333</v>
      </c>
      <c r="F17" s="27"/>
      <c r="G17" s="27"/>
    </row>
    <row r="18" spans="1:7" ht="15">
      <c r="A18" s="12" t="s">
        <v>31</v>
      </c>
      <c r="B18" s="29">
        <v>9144.059000000001</v>
      </c>
      <c r="C18" s="29">
        <f>SUM(C19:C20)</f>
        <v>825.001</v>
      </c>
      <c r="D18" s="29">
        <f t="shared" si="0"/>
        <v>7.956606001154746</v>
      </c>
      <c r="E18" s="29">
        <v>543.512</v>
      </c>
      <c r="F18" s="27"/>
      <c r="G18" s="27"/>
    </row>
    <row r="19" spans="1:7" ht="15">
      <c r="A19" s="12" t="s">
        <v>198</v>
      </c>
      <c r="B19" s="44">
        <v>8660.449</v>
      </c>
      <c r="C19" s="29">
        <f>820031/1000</f>
        <v>820.031</v>
      </c>
      <c r="D19" s="29">
        <f t="shared" si="0"/>
        <v>7.908673535829565</v>
      </c>
      <c r="E19" s="29">
        <v>540.661</v>
      </c>
      <c r="F19" s="27"/>
      <c r="G19" s="27"/>
    </row>
    <row r="20" spans="1:7" ht="15">
      <c r="A20" s="12" t="s">
        <v>32</v>
      </c>
      <c r="B20" s="44">
        <v>483.61</v>
      </c>
      <c r="C20" s="29">
        <f>4970/1000</f>
        <v>4.97</v>
      </c>
      <c r="D20" s="29">
        <f t="shared" si="0"/>
        <v>0.04793246532518032</v>
      </c>
      <c r="E20" s="29">
        <v>2.851</v>
      </c>
      <c r="F20" s="27"/>
      <c r="G20" s="27"/>
    </row>
    <row r="21" spans="1:7" ht="15">
      <c r="A21" s="12" t="s">
        <v>33</v>
      </c>
      <c r="B21" s="44">
        <v>533.4099999999999</v>
      </c>
      <c r="C21" s="29">
        <f>57037.4000000003/1000</f>
        <v>57.0374000000003</v>
      </c>
      <c r="D21" s="29">
        <f t="shared" si="0"/>
        <v>0.5500891745952624</v>
      </c>
      <c r="E21" s="29">
        <v>75.781</v>
      </c>
      <c r="F21" s="27"/>
      <c r="G21" s="27"/>
    </row>
    <row r="22" spans="1:7" ht="15">
      <c r="A22" s="13" t="s">
        <v>34</v>
      </c>
      <c r="B22" s="31">
        <v>11602.785</v>
      </c>
      <c r="C22" s="31">
        <f>+C23+C28+C29</f>
        <v>970.2589999999999</v>
      </c>
      <c r="D22" s="31">
        <f t="shared" si="0"/>
        <v>9.35752633278554</v>
      </c>
      <c r="E22" s="31">
        <v>685.184</v>
      </c>
      <c r="F22" s="27"/>
      <c r="G22" s="27"/>
    </row>
    <row r="23" spans="1:7" ht="15">
      <c r="A23" s="12" t="s">
        <v>35</v>
      </c>
      <c r="B23" s="29">
        <v>8175.071</v>
      </c>
      <c r="C23" s="29">
        <f>SUM(C24:C27)</f>
        <v>781.9319999999999</v>
      </c>
      <c r="D23" s="29">
        <f t="shared" si="0"/>
        <v>7.541233093893138</v>
      </c>
      <c r="E23" s="29">
        <v>543.6479999999999</v>
      </c>
      <c r="F23" s="27"/>
      <c r="G23" s="27"/>
    </row>
    <row r="24" spans="1:7" ht="15">
      <c r="A24" s="12" t="s">
        <v>36</v>
      </c>
      <c r="B24" s="29">
        <v>137.7</v>
      </c>
      <c r="C24" s="29">
        <v>0.408</v>
      </c>
      <c r="D24" s="29">
        <f t="shared" si="0"/>
        <v>0.003934898561906151</v>
      </c>
      <c r="E24" s="29">
        <v>14.498</v>
      </c>
      <c r="F24" s="27"/>
      <c r="G24" s="27"/>
    </row>
    <row r="25" spans="1:7" ht="15">
      <c r="A25" s="12" t="s">
        <v>37</v>
      </c>
      <c r="B25" s="29">
        <v>6075.93</v>
      </c>
      <c r="C25" s="29">
        <v>641.222</v>
      </c>
      <c r="D25" s="29">
        <f t="shared" si="0"/>
        <v>6.184175307996534</v>
      </c>
      <c r="E25" s="29">
        <v>428.286</v>
      </c>
      <c r="F25" s="27"/>
      <c r="G25" s="27"/>
    </row>
    <row r="26" spans="1:7" ht="15">
      <c r="A26" s="12" t="s">
        <v>38</v>
      </c>
      <c r="B26" s="29">
        <v>960.701</v>
      </c>
      <c r="C26" s="29">
        <v>41.502</v>
      </c>
      <c r="D26" s="29">
        <f t="shared" si="0"/>
        <v>0.4002601963633066</v>
      </c>
      <c r="E26" s="29">
        <v>55.275</v>
      </c>
      <c r="F26" s="27"/>
      <c r="G26" s="27"/>
    </row>
    <row r="27" spans="1:7" ht="15">
      <c r="A27" s="12" t="s">
        <v>25</v>
      </c>
      <c r="B27" s="29">
        <v>1000.7399999999998</v>
      </c>
      <c r="C27" s="29">
        <v>98.8</v>
      </c>
      <c r="D27" s="29">
        <f t="shared" si="0"/>
        <v>0.9528626909713913</v>
      </c>
      <c r="E27" s="29">
        <v>45.589</v>
      </c>
      <c r="F27" s="27"/>
      <c r="G27" s="27"/>
    </row>
    <row r="28" spans="1:7" ht="15">
      <c r="A28" s="12" t="s">
        <v>39</v>
      </c>
      <c r="B28" s="29">
        <v>3044.935</v>
      </c>
      <c r="C28" s="29">
        <v>178.357</v>
      </c>
      <c r="D28" s="29">
        <f t="shared" si="0"/>
        <v>1.72013897746543</v>
      </c>
      <c r="E28" s="29">
        <v>133.879</v>
      </c>
      <c r="F28" s="27"/>
      <c r="G28" s="27"/>
    </row>
    <row r="29" spans="1:7" ht="15">
      <c r="A29" s="12" t="s">
        <v>40</v>
      </c>
      <c r="B29" s="29">
        <v>382.779</v>
      </c>
      <c r="C29" s="29">
        <v>9.97</v>
      </c>
      <c r="D29" s="29">
        <f t="shared" si="0"/>
        <v>0.0961542614269714</v>
      </c>
      <c r="E29" s="29">
        <v>7.657</v>
      </c>
      <c r="F29" s="27"/>
      <c r="G29" s="27"/>
    </row>
    <row r="30" spans="1:7" ht="15">
      <c r="A30" s="14" t="s">
        <v>41</v>
      </c>
      <c r="B30" s="32">
        <v>103015.84700000001</v>
      </c>
      <c r="C30" s="32">
        <f>C7+C22</f>
        <v>10368.755219</v>
      </c>
      <c r="D30" s="32">
        <f>+C30/$C$30*100</f>
        <v>100</v>
      </c>
      <c r="E30" s="32">
        <v>7791.515</v>
      </c>
      <c r="F30" s="27"/>
      <c r="G30" s="38"/>
    </row>
    <row r="31" spans="1:7" ht="33.75" customHeight="1">
      <c r="A31" s="122" t="s">
        <v>14</v>
      </c>
      <c r="B31" s="122"/>
      <c r="C31" s="122"/>
      <c r="D31" s="122"/>
      <c r="E31" s="122"/>
      <c r="F31" s="42"/>
      <c r="G31" s="42"/>
    </row>
    <row r="32" spans="1:7" ht="30" customHeight="1">
      <c r="A32" s="121" t="s">
        <v>226</v>
      </c>
      <c r="B32" s="121"/>
      <c r="C32" s="121"/>
      <c r="D32" s="121"/>
      <c r="E32" s="121"/>
      <c r="F32" s="20"/>
      <c r="G32" s="20"/>
    </row>
    <row r="33" spans="1:7" ht="16.5" customHeight="1">
      <c r="A33" s="121" t="s">
        <v>227</v>
      </c>
      <c r="B33" s="121"/>
      <c r="C33" s="121"/>
      <c r="D33" s="121"/>
      <c r="E33" s="121"/>
      <c r="F33" s="20"/>
      <c r="G33" s="20"/>
    </row>
    <row r="34" spans="1:7" ht="16.5" customHeight="1">
      <c r="A34" s="121" t="s">
        <v>197</v>
      </c>
      <c r="B34" s="121"/>
      <c r="C34" s="121"/>
      <c r="D34" s="121"/>
      <c r="E34" s="121"/>
      <c r="F34" s="20"/>
      <c r="G34" s="20"/>
    </row>
    <row r="35" spans="1:7" ht="16.5" customHeight="1">
      <c r="A35" s="121" t="s">
        <v>207</v>
      </c>
      <c r="B35" s="121"/>
      <c r="C35" s="121"/>
      <c r="D35" s="121"/>
      <c r="E35" s="121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192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3" ht="15">
      <c r="A40" s="1" t="s">
        <v>0</v>
      </c>
      <c r="B40" s="3"/>
      <c r="C40" s="41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205</v>
      </c>
      <c r="C44" s="6" t="s">
        <v>206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19111.911</v>
      </c>
      <c r="C46" s="29">
        <v>1755.165</v>
      </c>
      <c r="D46" s="29">
        <f>+C46/$C$58*100</f>
        <v>15.515451760409494</v>
      </c>
      <c r="E46" s="29">
        <v>1253.749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10770.459</v>
      </c>
      <c r="C48" s="29">
        <v>1011.68</v>
      </c>
      <c r="D48" s="29">
        <f>+C48/$C$58*100</f>
        <v>8.943131977318984</v>
      </c>
      <c r="E48" s="29">
        <v>817.024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62270.801999999996</v>
      </c>
      <c r="C50" s="29">
        <v>6228.59</v>
      </c>
      <c r="D50" s="29">
        <f>+C50/$C$58*100</f>
        <v>55.060001584106885</v>
      </c>
      <c r="E50" s="29">
        <v>4851.464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10640.08</v>
      </c>
      <c r="C52" s="29">
        <v>1322.914</v>
      </c>
      <c r="D52" s="29">
        <f>+C52/$C$58*100</f>
        <v>11.694403859563268</v>
      </c>
      <c r="E52" s="29">
        <v>862.072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222.59199999999998</v>
      </c>
      <c r="C54" s="29">
        <v>50.407</v>
      </c>
      <c r="D54" s="29">
        <f>+C54/$C$58*100</f>
        <v>0.44559193972473315</v>
      </c>
      <c r="E54" s="29">
        <v>7.207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8728.021999999999</v>
      </c>
      <c r="C56" s="29">
        <v>943.612</v>
      </c>
      <c r="D56" s="29">
        <f>+C56/$C$58*100</f>
        <v>8.341418878876643</v>
      </c>
      <c r="E56" s="29">
        <v>494.654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111743.866</v>
      </c>
      <c r="C58" s="19">
        <f>SUM(C46:C56)</f>
        <v>11312.367999999999</v>
      </c>
      <c r="D58" s="19">
        <f>+C58/$C$58*100</f>
        <v>100</v>
      </c>
      <c r="E58" s="19">
        <v>8286.17</v>
      </c>
      <c r="F58" s="27"/>
      <c r="G58" s="27"/>
    </row>
    <row r="59" spans="1:7" ht="30.75" customHeight="1">
      <c r="A59" s="124" t="s">
        <v>14</v>
      </c>
      <c r="B59" s="124"/>
      <c r="C59" s="124"/>
      <c r="D59" s="124"/>
      <c r="E59" s="124"/>
      <c r="F59" s="42"/>
      <c r="G59" s="42"/>
    </row>
    <row r="60" spans="1:7" ht="32.25" customHeight="1">
      <c r="A60" s="123" t="s">
        <v>228</v>
      </c>
      <c r="B60" s="123"/>
      <c r="C60" s="123"/>
      <c r="D60" s="123"/>
      <c r="E60" s="123"/>
      <c r="F60" s="20"/>
      <c r="G60" s="20"/>
    </row>
    <row r="61" spans="1:7" ht="16.5" customHeight="1">
      <c r="A61" s="121" t="s">
        <v>229</v>
      </c>
      <c r="B61" s="121"/>
      <c r="C61" s="121"/>
      <c r="D61" s="121"/>
      <c r="E61" s="121"/>
      <c r="F61" s="20"/>
      <c r="G61" s="20"/>
    </row>
    <row r="62" spans="1:7" ht="19.5" customHeight="1">
      <c r="A62" s="121" t="s">
        <v>88</v>
      </c>
      <c r="B62" s="121"/>
      <c r="C62" s="121"/>
      <c r="D62" s="121"/>
      <c r="E62" s="121"/>
      <c r="F62" s="20"/>
      <c r="G62" s="20"/>
    </row>
    <row r="63" spans="1:7" ht="16.5" customHeight="1">
      <c r="A63" s="121" t="s">
        <v>208</v>
      </c>
      <c r="B63" s="121"/>
      <c r="C63" s="121"/>
      <c r="D63" s="121"/>
      <c r="E63" s="121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230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205</v>
      </c>
      <c r="C73" s="6" t="s">
        <v>206</v>
      </c>
      <c r="D73" s="6" t="s">
        <v>42</v>
      </c>
      <c r="E73" s="6" t="s">
        <v>86</v>
      </c>
    </row>
    <row r="74" spans="1:5" ht="15">
      <c r="A74" s="11" t="s">
        <v>20</v>
      </c>
      <c r="B74" s="30">
        <v>91413.062</v>
      </c>
      <c r="C74" s="30">
        <f>+C75+C76+C80+C81+C82+C83</f>
        <v>79991.152036</v>
      </c>
      <c r="D74" s="30">
        <f>+C74/$C$97*100</f>
        <v>92.86204179173964</v>
      </c>
      <c r="E74" s="30">
        <v>58447.651</v>
      </c>
    </row>
    <row r="75" spans="1:5" ht="15">
      <c r="A75" s="12" t="s">
        <v>21</v>
      </c>
      <c r="B75" s="29">
        <v>40688.899</v>
      </c>
      <c r="C75" s="29">
        <v>35747.745</v>
      </c>
      <c r="D75" s="29">
        <f aca="true" t="shared" si="1" ref="D75:D97">+C75/$C$97*100</f>
        <v>41.499697224718844</v>
      </c>
      <c r="E75" s="29">
        <v>26575.12</v>
      </c>
    </row>
    <row r="76" spans="1:5" ht="15">
      <c r="A76" s="12" t="s">
        <v>22</v>
      </c>
      <c r="B76" s="29">
        <v>12729.483</v>
      </c>
      <c r="C76" s="29">
        <f>SUM(C77:C79)</f>
        <v>10650.661</v>
      </c>
      <c r="D76" s="29">
        <f t="shared" si="1"/>
        <v>12.3643940825672</v>
      </c>
      <c r="E76" s="29">
        <v>8146.976</v>
      </c>
    </row>
    <row r="77" spans="1:5" ht="15">
      <c r="A77" s="12" t="s">
        <v>23</v>
      </c>
      <c r="B77" s="29">
        <v>2170.32</v>
      </c>
      <c r="C77" s="29">
        <v>1556.136</v>
      </c>
      <c r="D77" s="29">
        <f t="shared" si="1"/>
        <v>1.806524379103775</v>
      </c>
      <c r="E77" s="29">
        <v>1133.482</v>
      </c>
    </row>
    <row r="78" spans="1:5" ht="15">
      <c r="A78" s="12" t="s">
        <v>24</v>
      </c>
      <c r="B78" s="29">
        <v>11130.893</v>
      </c>
      <c r="C78" s="29">
        <v>9065.957</v>
      </c>
      <c r="D78" s="29">
        <f t="shared" si="1"/>
        <v>10.524705000338354</v>
      </c>
      <c r="E78" s="29">
        <v>7251.535</v>
      </c>
    </row>
    <row r="79" spans="1:5" ht="15">
      <c r="A79" s="12" t="s">
        <v>25</v>
      </c>
      <c r="B79" s="29">
        <v>-571.7299999999996</v>
      </c>
      <c r="C79" s="29">
        <v>28.568</v>
      </c>
      <c r="D79" s="29">
        <f t="shared" si="1"/>
        <v>0.03316470312507175</v>
      </c>
      <c r="E79" s="29">
        <v>-238.041</v>
      </c>
    </row>
    <row r="80" spans="1:5" ht="15">
      <c r="A80" s="12" t="s">
        <v>26</v>
      </c>
      <c r="B80" s="29">
        <v>172.5</v>
      </c>
      <c r="C80" s="29">
        <v>199.675</v>
      </c>
      <c r="D80" s="29">
        <f t="shared" si="1"/>
        <v>0.23180348979623008</v>
      </c>
      <c r="E80" s="29">
        <v>32.734</v>
      </c>
    </row>
    <row r="81" spans="1:5" ht="15">
      <c r="A81" s="12" t="s">
        <v>27</v>
      </c>
      <c r="B81" s="29">
        <v>16373.954</v>
      </c>
      <c r="C81" s="29">
        <v>14730.253</v>
      </c>
      <c r="D81" s="29">
        <f t="shared" si="1"/>
        <v>17.100408418587143</v>
      </c>
      <c r="E81" s="29">
        <v>10823.567</v>
      </c>
    </row>
    <row r="82" spans="1:5" ht="15">
      <c r="A82" s="12" t="s">
        <v>28</v>
      </c>
      <c r="B82" s="29">
        <v>3681.133</v>
      </c>
      <c r="C82" s="29">
        <v>3618.784</v>
      </c>
      <c r="D82" s="29">
        <f t="shared" si="1"/>
        <v>4.201060523444401</v>
      </c>
      <c r="E82" s="29">
        <v>2659.763</v>
      </c>
    </row>
    <row r="83" spans="1:5" ht="15">
      <c r="A83" s="12" t="s">
        <v>29</v>
      </c>
      <c r="B83" s="29">
        <v>17767.093</v>
      </c>
      <c r="C83" s="29">
        <f>+C84+C85+C88</f>
        <v>15044.034036000001</v>
      </c>
      <c r="D83" s="29">
        <f t="shared" si="1"/>
        <v>17.464678052625835</v>
      </c>
      <c r="E83" s="29">
        <v>10209.491</v>
      </c>
    </row>
    <row r="84" spans="1:5" ht="15">
      <c r="A84" s="12" t="s">
        <v>30</v>
      </c>
      <c r="B84" s="29">
        <v>8089.624</v>
      </c>
      <c r="C84" s="29">
        <f>6902473.396/1000</f>
        <v>6902.473395999999</v>
      </c>
      <c r="D84" s="29">
        <f t="shared" si="1"/>
        <v>8.013108408255592</v>
      </c>
      <c r="E84" s="29">
        <v>4859.921</v>
      </c>
    </row>
    <row r="85" spans="1:5" ht="15">
      <c r="A85" s="12" t="s">
        <v>31</v>
      </c>
      <c r="B85" s="29">
        <v>9144.059000000001</v>
      </c>
      <c r="C85" s="29">
        <f>SUM(C86:C87)</f>
        <v>7533.579240000001</v>
      </c>
      <c r="D85" s="29">
        <f t="shared" si="1"/>
        <v>8.745761655131744</v>
      </c>
      <c r="E85" s="29">
        <v>4900.553</v>
      </c>
    </row>
    <row r="86" spans="1:5" ht="15">
      <c r="A86" s="12" t="s">
        <v>198</v>
      </c>
      <c r="B86" s="44">
        <v>8660.449</v>
      </c>
      <c r="C86" s="29">
        <f>6939939.24/1000</f>
        <v>6939.939240000001</v>
      </c>
      <c r="D86" s="29">
        <f t="shared" si="1"/>
        <v>8.056602653340663</v>
      </c>
      <c r="E86" s="29">
        <v>4538.363</v>
      </c>
    </row>
    <row r="87" spans="1:5" ht="15">
      <c r="A87" s="12" t="s">
        <v>32</v>
      </c>
      <c r="B87" s="44">
        <v>483.61</v>
      </c>
      <c r="C87" s="29">
        <f>593640/1000</f>
        <v>593.64</v>
      </c>
      <c r="D87" s="29">
        <f t="shared" si="1"/>
        <v>0.6891590017910806</v>
      </c>
      <c r="E87" s="29">
        <v>362.19</v>
      </c>
    </row>
    <row r="88" spans="1:5" ht="15">
      <c r="A88" s="12" t="s">
        <v>33</v>
      </c>
      <c r="B88" s="44">
        <v>533.4099999999999</v>
      </c>
      <c r="C88" s="29">
        <f>607981.4/1000</f>
        <v>607.9814</v>
      </c>
      <c r="D88" s="29">
        <f t="shared" si="1"/>
        <v>0.705807989238501</v>
      </c>
      <c r="E88" s="29">
        <v>449.017</v>
      </c>
    </row>
    <row r="89" spans="1:5" ht="15">
      <c r="A89" s="13" t="s">
        <v>34</v>
      </c>
      <c r="B89" s="31">
        <v>11602.785</v>
      </c>
      <c r="C89" s="31">
        <f>+C90+C95+C96</f>
        <v>6148.621</v>
      </c>
      <c r="D89" s="31">
        <f t="shared" si="1"/>
        <v>7.137958208260353</v>
      </c>
      <c r="E89" s="31">
        <v>4908.906</v>
      </c>
    </row>
    <row r="90" spans="1:5" ht="15">
      <c r="A90" s="12" t="s">
        <v>35</v>
      </c>
      <c r="B90" s="29">
        <v>8175.071</v>
      </c>
      <c r="C90" s="29">
        <f>SUM(C91:C94)</f>
        <v>4450.753</v>
      </c>
      <c r="D90" s="29">
        <f t="shared" si="1"/>
        <v>5.166896595072194</v>
      </c>
      <c r="E90" s="29">
        <v>3257.166</v>
      </c>
    </row>
    <row r="91" spans="1:5" ht="15">
      <c r="A91" s="12" t="s">
        <v>36</v>
      </c>
      <c r="B91" s="29">
        <v>137.7</v>
      </c>
      <c r="C91" s="29">
        <v>33.069</v>
      </c>
      <c r="D91" s="29">
        <f t="shared" si="1"/>
        <v>0.03838993165930404</v>
      </c>
      <c r="E91" s="29">
        <v>37.237</v>
      </c>
    </row>
    <row r="92" spans="1:5" ht="15">
      <c r="A92" s="12" t="s">
        <v>37</v>
      </c>
      <c r="B92" s="29">
        <v>6075.93</v>
      </c>
      <c r="C92" s="29">
        <v>3246.144</v>
      </c>
      <c r="D92" s="29">
        <f t="shared" si="1"/>
        <v>3.768461287497651</v>
      </c>
      <c r="E92" s="29">
        <v>2276.784</v>
      </c>
    </row>
    <row r="93" spans="1:5" ht="15">
      <c r="A93" s="12" t="s">
        <v>38</v>
      </c>
      <c r="B93" s="29">
        <v>960.701</v>
      </c>
      <c r="C93" s="29">
        <v>426.52</v>
      </c>
      <c r="D93" s="29">
        <f t="shared" si="1"/>
        <v>0.4951487390403808</v>
      </c>
      <c r="E93" s="29">
        <v>439.082</v>
      </c>
    </row>
    <row r="94" spans="1:5" ht="15">
      <c r="A94" s="12" t="s">
        <v>25</v>
      </c>
      <c r="B94" s="29">
        <v>1000.7399999999998</v>
      </c>
      <c r="C94" s="29">
        <v>745.02</v>
      </c>
      <c r="D94" s="29">
        <f t="shared" si="1"/>
        <v>0.8648966368748583</v>
      </c>
      <c r="E94" s="29">
        <v>504.063</v>
      </c>
    </row>
    <row r="95" spans="1:5" ht="15">
      <c r="A95" s="12" t="s">
        <v>39</v>
      </c>
      <c r="B95" s="29">
        <v>3044.935</v>
      </c>
      <c r="C95" s="29">
        <v>1611.831</v>
      </c>
      <c r="D95" s="29">
        <f t="shared" si="1"/>
        <v>1.8711809228083</v>
      </c>
      <c r="E95" s="29">
        <v>1511.341</v>
      </c>
    </row>
    <row r="96" spans="1:5" ht="15">
      <c r="A96" s="12" t="s">
        <v>40</v>
      </c>
      <c r="B96" s="29">
        <v>382.779</v>
      </c>
      <c r="C96" s="29">
        <v>86.037</v>
      </c>
      <c r="D96" s="29">
        <f t="shared" si="1"/>
        <v>0.09988069037985851</v>
      </c>
      <c r="E96" s="29">
        <v>140.399</v>
      </c>
    </row>
    <row r="97" spans="1:5" ht="15">
      <c r="A97" s="14" t="s">
        <v>41</v>
      </c>
      <c r="B97" s="32">
        <v>103015.84700000001</v>
      </c>
      <c r="C97" s="32">
        <f>+C89+C74</f>
        <v>86139.773036</v>
      </c>
      <c r="D97" s="32">
        <f t="shared" si="1"/>
        <v>100</v>
      </c>
      <c r="E97" s="32">
        <v>63356.557</v>
      </c>
    </row>
    <row r="98" spans="1:5" ht="28.5" customHeight="1">
      <c r="A98" s="122" t="s">
        <v>14</v>
      </c>
      <c r="B98" s="122"/>
      <c r="C98" s="122"/>
      <c r="D98" s="122"/>
      <c r="E98" s="122"/>
    </row>
    <row r="99" spans="1:5" ht="30" customHeight="1">
      <c r="A99" s="123" t="s">
        <v>231</v>
      </c>
      <c r="B99" s="123"/>
      <c r="C99" s="123"/>
      <c r="D99" s="123"/>
      <c r="E99" s="123"/>
    </row>
    <row r="100" spans="1:5" ht="15">
      <c r="A100" s="121" t="s">
        <v>232</v>
      </c>
      <c r="B100" s="121"/>
      <c r="C100" s="121"/>
      <c r="D100" s="121"/>
      <c r="E100" s="121"/>
    </row>
    <row r="101" spans="1:5" ht="15">
      <c r="A101" s="121" t="s">
        <v>197</v>
      </c>
      <c r="B101" s="121"/>
      <c r="C101" s="121"/>
      <c r="D101" s="121"/>
      <c r="E101" s="121"/>
    </row>
    <row r="102" spans="1:5" ht="15">
      <c r="A102" s="121" t="s">
        <v>208</v>
      </c>
      <c r="B102" s="121"/>
      <c r="C102" s="121"/>
      <c r="D102" s="121"/>
      <c r="E102" s="121"/>
    </row>
    <row r="103" spans="1:5" ht="15">
      <c r="A103" s="121"/>
      <c r="B103" s="121"/>
      <c r="C103" s="121"/>
      <c r="D103" s="121"/>
      <c r="E103" s="121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3" ht="15">
      <c r="A107" s="1" t="s">
        <v>0</v>
      </c>
      <c r="B107" s="3"/>
      <c r="C107" s="41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205</v>
      </c>
      <c r="C111" s="6" t="s">
        <v>206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19111.911</v>
      </c>
      <c r="C113" s="29">
        <v>15921.107</v>
      </c>
      <c r="D113" s="29">
        <f>+C113/$C$125*100</f>
        <v>17.11507371095906</v>
      </c>
      <c r="E113" s="29">
        <v>11525.688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10770.459</v>
      </c>
      <c r="C115" s="29">
        <v>8540.889</v>
      </c>
      <c r="D115" s="29">
        <f>+C115/$C$125*100</f>
        <v>9.18139327825128</v>
      </c>
      <c r="E115" s="29">
        <v>6352.895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62270.801999999996</v>
      </c>
      <c r="C117" s="29">
        <v>52743.05</v>
      </c>
      <c r="D117" s="29">
        <f>+C117/$C$125*100</f>
        <v>56.69839342771827</v>
      </c>
      <c r="E117" s="29">
        <v>39442.225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10640.08</v>
      </c>
      <c r="C119" s="29">
        <v>8716.284</v>
      </c>
      <c r="D119" s="29">
        <f>+C119/$C$125*100</f>
        <v>9.36994162187674</v>
      </c>
      <c r="E119" s="29">
        <v>5977.468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222.59199999999998</v>
      </c>
      <c r="C121" s="29">
        <v>218.442</v>
      </c>
      <c r="D121" s="29">
        <f>+C121/$C$125*100</f>
        <v>0.2348235541391261</v>
      </c>
      <c r="E121" s="29">
        <v>58.283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8728.021999999999</v>
      </c>
      <c r="C123" s="29">
        <v>6884.116</v>
      </c>
      <c r="D123" s="29">
        <f>+C123/$C$125*100</f>
        <v>7.400374407055531</v>
      </c>
      <c r="E123" s="29">
        <v>4451.369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111743.866</v>
      </c>
      <c r="C125" s="19">
        <f>SUM(C113:C123)</f>
        <v>93023.88799999999</v>
      </c>
      <c r="D125" s="19">
        <f>+C125/$C$125*100</f>
        <v>100</v>
      </c>
      <c r="E125" s="19">
        <v>67807.928</v>
      </c>
    </row>
    <row r="126" spans="1:5" ht="32.25" customHeight="1">
      <c r="A126" s="124" t="s">
        <v>14</v>
      </c>
      <c r="B126" s="124"/>
      <c r="C126" s="124"/>
      <c r="D126" s="124"/>
      <c r="E126" s="124"/>
    </row>
    <row r="127" spans="1:5" ht="29.25" customHeight="1">
      <c r="A127" s="121" t="s">
        <v>231</v>
      </c>
      <c r="B127" s="121"/>
      <c r="C127" s="121"/>
      <c r="D127" s="121"/>
      <c r="E127" s="121"/>
    </row>
    <row r="128" spans="1:5" ht="18.75" customHeight="1">
      <c r="A128" s="121" t="s">
        <v>232</v>
      </c>
      <c r="B128" s="121"/>
      <c r="C128" s="121"/>
      <c r="D128" s="121"/>
      <c r="E128" s="121"/>
    </row>
    <row r="129" spans="1:5" ht="19.5" customHeight="1">
      <c r="A129" s="121" t="s">
        <v>88</v>
      </c>
      <c r="B129" s="121"/>
      <c r="C129" s="121"/>
      <c r="D129" s="121"/>
      <c r="E129" s="121"/>
    </row>
    <row r="130" spans="1:5" ht="15">
      <c r="A130" s="121" t="s">
        <v>208</v>
      </c>
      <c r="B130" s="121"/>
      <c r="C130" s="121"/>
      <c r="D130" s="121"/>
      <c r="E130" s="121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35:E35"/>
    <mergeCell ref="A60:E60"/>
    <mergeCell ref="A126:E126"/>
    <mergeCell ref="A63:E63"/>
    <mergeCell ref="A61:E61"/>
    <mergeCell ref="A31:E31"/>
    <mergeCell ref="A59:E59"/>
    <mergeCell ref="A34:E34"/>
    <mergeCell ref="A32:E32"/>
    <mergeCell ref="A33:E33"/>
    <mergeCell ref="A62:E62"/>
    <mergeCell ref="A130:E130"/>
    <mergeCell ref="A98:E98"/>
    <mergeCell ref="A99:E99"/>
    <mergeCell ref="A100:E100"/>
    <mergeCell ref="A101:E101"/>
    <mergeCell ref="A129:E129"/>
    <mergeCell ref="A128:E128"/>
    <mergeCell ref="A102:E102"/>
    <mergeCell ref="A127:E127"/>
    <mergeCell ref="A103:E103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F16384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1002.522</v>
      </c>
      <c r="C7" s="29">
        <f aca="true" t="shared" si="0" ref="C7:C13">+B7/$B$13*100</f>
        <v>10.602802565902211</v>
      </c>
      <c r="D7" s="29">
        <v>703.577</v>
      </c>
    </row>
    <row r="8" spans="1:4" ht="16.5" customHeight="1">
      <c r="A8" s="4" t="s">
        <v>51</v>
      </c>
      <c r="B8" s="29">
        <v>1830.211</v>
      </c>
      <c r="C8" s="29">
        <f t="shared" si="0"/>
        <v>19.356548671193703</v>
      </c>
      <c r="D8" s="29">
        <v>1307.042</v>
      </c>
    </row>
    <row r="9" spans="1:4" ht="16.5" customHeight="1">
      <c r="A9" s="4" t="s">
        <v>52</v>
      </c>
      <c r="B9" s="29">
        <v>2216.095</v>
      </c>
      <c r="C9" s="29">
        <f t="shared" si="0"/>
        <v>23.437707853077598</v>
      </c>
      <c r="D9" s="29">
        <v>1549.545</v>
      </c>
    </row>
    <row r="10" spans="1:4" ht="16.5" customHeight="1">
      <c r="A10" s="4" t="s">
        <v>53</v>
      </c>
      <c r="B10" s="29">
        <v>3721.321</v>
      </c>
      <c r="C10" s="29">
        <f t="shared" si="0"/>
        <v>39.357173056896286</v>
      </c>
      <c r="D10" s="29">
        <v>2285.239</v>
      </c>
    </row>
    <row r="11" spans="1:4" ht="16.5" customHeight="1">
      <c r="A11" s="4" t="s">
        <v>193</v>
      </c>
      <c r="B11" s="29">
        <v>255.21</v>
      </c>
      <c r="C11" s="29">
        <f t="shared" si="0"/>
        <v>2.6991340268282427</v>
      </c>
      <c r="D11" s="29">
        <v>0</v>
      </c>
    </row>
    <row r="12" spans="1:4" ht="16.5" customHeight="1">
      <c r="A12" s="4" t="s">
        <v>54</v>
      </c>
      <c r="B12" s="29">
        <f>('[1]Total devengado'!$O$384+'[2]Total devengado'!$C$405+'[2]Total devengado'!$E$405+'[2]Total devengado'!$G$405)/1000000</f>
        <v>429.8958137039999</v>
      </c>
      <c r="C12" s="29">
        <f t="shared" si="0"/>
        <v>4.54663382610196</v>
      </c>
      <c r="D12" s="29">
        <v>332.57</v>
      </c>
    </row>
    <row r="13" spans="1:4" ht="15">
      <c r="A13" s="18" t="s">
        <v>48</v>
      </c>
      <c r="B13" s="19">
        <f>SUM(B7:B12)</f>
        <v>9455.254813704</v>
      </c>
      <c r="C13" s="118">
        <f t="shared" si="0"/>
        <v>100</v>
      </c>
      <c r="D13" s="19">
        <v>6177.973</v>
      </c>
    </row>
    <row r="14" ht="15">
      <c r="A14" t="s">
        <v>233</v>
      </c>
    </row>
    <row r="15" ht="15">
      <c r="A15" t="s">
        <v>234</v>
      </c>
    </row>
    <row r="16" ht="15">
      <c r="A16" t="s">
        <v>194</v>
      </c>
    </row>
    <row r="18" ht="15">
      <c r="A18" t="s">
        <v>195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235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63717246839.89</v>
      </c>
      <c r="D11" s="71">
        <f>SUM(D12:D15)</f>
        <v>6581764561.29</v>
      </c>
      <c r="E11" s="71">
        <f>SUM(E12:E15)</f>
        <v>15382017122.87</v>
      </c>
      <c r="F11" s="87">
        <f aca="true" t="shared" si="0" ref="F11:F20">SUM(C11:E11)</f>
        <v>85681028524.04999</v>
      </c>
    </row>
    <row r="12" spans="1:6" s="79" customFormat="1" ht="15">
      <c r="A12" s="88"/>
      <c r="B12" s="89" t="s">
        <v>102</v>
      </c>
      <c r="C12" s="90">
        <v>59878405103.73</v>
      </c>
      <c r="D12" s="90">
        <v>667399014.47</v>
      </c>
      <c r="E12" s="90">
        <v>480303968.55</v>
      </c>
      <c r="F12" s="91">
        <f t="shared" si="0"/>
        <v>61026108086.75001</v>
      </c>
    </row>
    <row r="13" spans="1:6" s="79" customFormat="1" ht="15">
      <c r="A13" s="88"/>
      <c r="B13" s="89" t="s">
        <v>103</v>
      </c>
      <c r="C13" s="90">
        <v>7101081.46</v>
      </c>
      <c r="D13" s="90">
        <v>0</v>
      </c>
      <c r="E13" s="90">
        <v>14799600623.86</v>
      </c>
      <c r="F13" s="91">
        <f t="shared" si="0"/>
        <v>14806701705.32</v>
      </c>
    </row>
    <row r="14" spans="1:6" s="79" customFormat="1" ht="15">
      <c r="A14" s="88"/>
      <c r="B14" s="89" t="s">
        <v>104</v>
      </c>
      <c r="C14" s="90">
        <v>426234213.59</v>
      </c>
      <c r="D14" s="90">
        <v>4564968411.21</v>
      </c>
      <c r="E14" s="90">
        <v>9766577.45</v>
      </c>
      <c r="F14" s="91">
        <f t="shared" si="0"/>
        <v>5000969202.25</v>
      </c>
    </row>
    <row r="15" spans="1:6" s="79" customFormat="1" ht="15">
      <c r="A15" s="88"/>
      <c r="B15" s="89" t="s">
        <v>105</v>
      </c>
      <c r="C15" s="90">
        <v>3405506441.11</v>
      </c>
      <c r="D15" s="90">
        <v>1349397135.61</v>
      </c>
      <c r="E15" s="90">
        <v>92345953.01</v>
      </c>
      <c r="F15" s="91">
        <f t="shared" si="0"/>
        <v>4847249529.7300005</v>
      </c>
    </row>
    <row r="16" spans="1:6" ht="15">
      <c r="A16" s="85" t="s">
        <v>106</v>
      </c>
      <c r="B16" s="86" t="s">
        <v>20</v>
      </c>
      <c r="C16" s="71">
        <f>SUM(C17:C23)</f>
        <v>55168417049.909996</v>
      </c>
      <c r="D16" s="71">
        <f>SUM(D17:D23)</f>
        <v>6121368371.24</v>
      </c>
      <c r="E16" s="71">
        <f>SUM(E17:E23)</f>
        <v>16852549604.17</v>
      </c>
      <c r="F16" s="87">
        <f t="shared" si="0"/>
        <v>78142335025.31999</v>
      </c>
    </row>
    <row r="17" spans="1:6" s="79" customFormat="1" ht="15">
      <c r="A17" s="88"/>
      <c r="B17" s="89" t="s">
        <v>107</v>
      </c>
      <c r="C17" s="90">
        <v>34622935737.07</v>
      </c>
      <c r="D17" s="90">
        <v>895889170.58</v>
      </c>
      <c r="E17" s="90">
        <v>228919632.93</v>
      </c>
      <c r="F17" s="91">
        <f t="shared" si="0"/>
        <v>35747744540.58</v>
      </c>
    </row>
    <row r="18" spans="1:6" s="79" customFormat="1" ht="15">
      <c r="A18" s="88"/>
      <c r="B18" s="89" t="s">
        <v>108</v>
      </c>
      <c r="C18" s="90">
        <v>4595918680.63</v>
      </c>
      <c r="D18" s="90">
        <v>1597993885.51</v>
      </c>
      <c r="E18" s="90">
        <v>4456748358.62</v>
      </c>
      <c r="F18" s="91">
        <f t="shared" si="0"/>
        <v>10650660924.76</v>
      </c>
    </row>
    <row r="19" spans="1:6" s="79" customFormat="1" ht="15">
      <c r="A19" s="88"/>
      <c r="B19" s="89" t="s">
        <v>109</v>
      </c>
      <c r="C19" s="90">
        <v>199675258.12</v>
      </c>
      <c r="D19" s="90">
        <v>0</v>
      </c>
      <c r="E19" s="90">
        <v>0</v>
      </c>
      <c r="F19" s="91">
        <f t="shared" si="0"/>
        <v>199675258.12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830304031.85</v>
      </c>
      <c r="D21" s="90">
        <v>0</v>
      </c>
      <c r="E21" s="90">
        <v>12051132493.4</v>
      </c>
      <c r="F21" s="91">
        <f>SUM(C21:E21)</f>
        <v>12881436525.25</v>
      </c>
    </row>
    <row r="22" spans="1:6" s="79" customFormat="1" ht="15">
      <c r="A22" s="88"/>
      <c r="B22" s="89" t="s">
        <v>112</v>
      </c>
      <c r="C22" s="90">
        <v>143895.25</v>
      </c>
      <c r="D22" s="90">
        <v>3503250388.14</v>
      </c>
      <c r="E22" s="90">
        <v>115389659.22</v>
      </c>
      <c r="F22" s="91">
        <f>SUM(C22:E22)</f>
        <v>3618783942.6099997</v>
      </c>
    </row>
    <row r="23" spans="1:6" s="79" customFormat="1" ht="15">
      <c r="A23" s="88"/>
      <c r="B23" s="89" t="s">
        <v>113</v>
      </c>
      <c r="C23" s="90">
        <v>14919439446.99</v>
      </c>
      <c r="D23" s="90">
        <v>124234927.01</v>
      </c>
      <c r="E23" s="90">
        <v>359460</v>
      </c>
      <c r="F23" s="91">
        <f>SUM(C23:E23)</f>
        <v>15044033834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8548829789.980003</v>
      </c>
      <c r="D25" s="71">
        <f>+D11-D16</f>
        <v>460396190.0500002</v>
      </c>
      <c r="E25" s="71">
        <f>+E11-E16</f>
        <v>-1470532481.2999992</v>
      </c>
      <c r="F25" s="87">
        <f aca="true" t="shared" si="1" ref="F25:F32">SUM(C25:E25)</f>
        <v>7538693498.730003</v>
      </c>
    </row>
    <row r="26" spans="1:6" ht="15">
      <c r="A26" s="85" t="s">
        <v>117</v>
      </c>
      <c r="B26" s="86" t="s">
        <v>118</v>
      </c>
      <c r="C26" s="94">
        <v>1610566925.8</v>
      </c>
      <c r="D26" s="94">
        <v>379760040.9</v>
      </c>
      <c r="E26" s="94">
        <v>0</v>
      </c>
      <c r="F26" s="87">
        <f t="shared" si="1"/>
        <v>1990326966.6999998</v>
      </c>
    </row>
    <row r="27" spans="1:6" ht="15">
      <c r="A27" s="85" t="s">
        <v>119</v>
      </c>
      <c r="B27" s="86" t="s">
        <v>34</v>
      </c>
      <c r="C27" s="71">
        <f>SUM(C28:C30)</f>
        <v>3728727567.77</v>
      </c>
      <c r="D27" s="71">
        <f>SUM(D28:D30)</f>
        <v>2414400319.69</v>
      </c>
      <c r="E27" s="71">
        <f>SUM(E28:E30)</f>
        <v>5492657.65</v>
      </c>
      <c r="F27" s="87">
        <f t="shared" si="1"/>
        <v>6148620545.11</v>
      </c>
    </row>
    <row r="28" spans="1:6" s="79" customFormat="1" ht="15">
      <c r="A28" s="88"/>
      <c r="B28" s="89" t="s">
        <v>120</v>
      </c>
      <c r="C28" s="90">
        <v>2234500465.78</v>
      </c>
      <c r="D28" s="90">
        <v>2212213519.08</v>
      </c>
      <c r="E28" s="90">
        <v>4037790.62</v>
      </c>
      <c r="F28" s="91">
        <f t="shared" si="1"/>
        <v>4450751775.4800005</v>
      </c>
    </row>
    <row r="29" spans="1:6" s="79" customFormat="1" ht="15">
      <c r="A29" s="88"/>
      <c r="B29" s="89" t="s">
        <v>121</v>
      </c>
      <c r="C29" s="90">
        <v>1481285654.33</v>
      </c>
      <c r="D29" s="90">
        <v>129090778.34</v>
      </c>
      <c r="E29" s="90">
        <v>1454867.03</v>
      </c>
      <c r="F29" s="91">
        <f t="shared" si="1"/>
        <v>1611831299.6999998</v>
      </c>
    </row>
    <row r="30" spans="1:6" s="79" customFormat="1" ht="15">
      <c r="A30" s="88"/>
      <c r="B30" s="89" t="s">
        <v>122</v>
      </c>
      <c r="C30" s="90">
        <v>12941447.66</v>
      </c>
      <c r="D30" s="90">
        <v>73096022.27</v>
      </c>
      <c r="E30" s="90">
        <v>0</v>
      </c>
      <c r="F30" s="91">
        <f t="shared" si="1"/>
        <v>86037469.92999999</v>
      </c>
    </row>
    <row r="31" spans="1:6" ht="15">
      <c r="A31" s="85" t="s">
        <v>123</v>
      </c>
      <c r="B31" s="86" t="s">
        <v>124</v>
      </c>
      <c r="C31" s="71">
        <f>+C11+C26</f>
        <v>65327813765.69</v>
      </c>
      <c r="D31" s="71">
        <f>+D11+D26</f>
        <v>6961524602.19</v>
      </c>
      <c r="E31" s="71">
        <f>+E11+E26</f>
        <v>15382017122.87</v>
      </c>
      <c r="F31" s="87">
        <f t="shared" si="1"/>
        <v>87671355490.75</v>
      </c>
    </row>
    <row r="32" spans="1:6" ht="15">
      <c r="A32" s="85" t="s">
        <v>125</v>
      </c>
      <c r="B32" s="86" t="s">
        <v>126</v>
      </c>
      <c r="C32" s="71">
        <f>+C16+C27</f>
        <v>58897144617.67999</v>
      </c>
      <c r="D32" s="71">
        <f>+D16+D27</f>
        <v>8535768690.93</v>
      </c>
      <c r="E32" s="71">
        <f>+E16+E27</f>
        <v>16858042261.82</v>
      </c>
      <c r="F32" s="87">
        <f t="shared" si="1"/>
        <v>84290955570.43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6430669148.01001</v>
      </c>
      <c r="D35" s="71">
        <f>+D31-D32</f>
        <v>-1574244088.7400007</v>
      </c>
      <c r="E35" s="71">
        <f>+E31-E32</f>
        <v>-1476025138.9499989</v>
      </c>
      <c r="F35" s="87">
        <f>SUM(C35:E35)</f>
        <v>3380399920.32001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1848816347.05</v>
      </c>
      <c r="F37" s="87">
        <f>SUM(C37:E37)</f>
        <v>1848816347.05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+C35-C36</f>
        <v>6430669148.01001</v>
      </c>
      <c r="D40" s="71">
        <f>+D35-D36</f>
        <v>-1574244088.7400007</v>
      </c>
      <c r="E40" s="71">
        <f>+E35-E37</f>
        <v>-3324841485.999999</v>
      </c>
      <c r="F40" s="87">
        <f aca="true" t="shared" si="2" ref="F40:F65">SUM(C40:E40)</f>
        <v>1531583573.27001</v>
      </c>
      <c r="I40" s="73"/>
    </row>
    <row r="41" spans="1:9" s="2" customFormat="1" ht="15">
      <c r="A41" s="98" t="s">
        <v>137</v>
      </c>
      <c r="B41" s="86" t="s">
        <v>138</v>
      </c>
      <c r="C41" s="94">
        <v>631103172.88</v>
      </c>
      <c r="D41" s="94">
        <v>2344121340.82</v>
      </c>
      <c r="E41" s="94">
        <v>1783389347.13</v>
      </c>
      <c r="F41" s="87">
        <f t="shared" si="2"/>
        <v>4758613860.83</v>
      </c>
      <c r="I41" s="82"/>
    </row>
    <row r="42" spans="1:9" s="2" customFormat="1" ht="15">
      <c r="A42" s="98" t="s">
        <v>139</v>
      </c>
      <c r="B42" s="86" t="s">
        <v>140</v>
      </c>
      <c r="C42" s="94">
        <v>4526005285.78</v>
      </c>
      <c r="D42" s="94">
        <v>709098248.75</v>
      </c>
      <c r="E42" s="94">
        <v>0</v>
      </c>
      <c r="F42" s="87">
        <f t="shared" si="2"/>
        <v>5235103534.53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2535767035.11001</v>
      </c>
      <c r="D43" s="71">
        <f>D40+D41-D42</f>
        <v>60779003.32999945</v>
      </c>
      <c r="E43" s="71">
        <f>E40+E41-E42</f>
        <v>-1541452138.869999</v>
      </c>
      <c r="F43" s="87">
        <f t="shared" si="2"/>
        <v>1055093899.5700107</v>
      </c>
      <c r="I43" s="73"/>
    </row>
    <row r="44" spans="1:6" ht="15">
      <c r="A44" s="85" t="s">
        <v>143</v>
      </c>
      <c r="B44" s="76" t="s">
        <v>144</v>
      </c>
      <c r="C44" s="74">
        <f>+C45+C56+C66</f>
        <v>9304476435.98</v>
      </c>
      <c r="D44" s="74">
        <f>+D45+D56+D66</f>
        <v>1339908648.88</v>
      </c>
      <c r="E44" s="74">
        <f>+E45+E56+E66</f>
        <v>1923347516.18</v>
      </c>
      <c r="F44" s="99">
        <f t="shared" si="2"/>
        <v>12567732601.04</v>
      </c>
    </row>
    <row r="45" spans="1:6" s="2" customFormat="1" ht="15">
      <c r="A45" s="98"/>
      <c r="B45" s="76" t="s">
        <v>145</v>
      </c>
      <c r="C45" s="74">
        <f>+C46+C47+C48+C49+C55</f>
        <v>606002089.6600001</v>
      </c>
      <c r="D45" s="74">
        <f>+D46+D47+D48+D49+D55</f>
        <v>332640104.78</v>
      </c>
      <c r="E45" s="74">
        <f>+E46+E47+E48+E49+E55</f>
        <v>104123755.21</v>
      </c>
      <c r="F45" s="99">
        <f t="shared" si="2"/>
        <v>1042765949.6500001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>
      <c r="A48" s="100"/>
      <c r="B48" s="101" t="s">
        <v>148</v>
      </c>
      <c r="C48" s="80">
        <v>79569710.37</v>
      </c>
      <c r="D48" s="80">
        <v>0</v>
      </c>
      <c r="E48" s="80">
        <v>0</v>
      </c>
      <c r="F48" s="103">
        <f t="shared" si="2"/>
        <v>79569710.37</v>
      </c>
    </row>
    <row r="49" spans="1:6" s="2" customFormat="1" ht="15">
      <c r="A49" s="98"/>
      <c r="B49" s="104" t="s">
        <v>149</v>
      </c>
      <c r="C49" s="74">
        <f>SUM(C50:C54)</f>
        <v>526432379.29</v>
      </c>
      <c r="D49" s="74">
        <f>SUM(D50:D54)</f>
        <v>332640104.78</v>
      </c>
      <c r="E49" s="74">
        <f>SUM(E50:E54)</f>
        <v>104123755.21</v>
      </c>
      <c r="F49" s="105">
        <f t="shared" si="2"/>
        <v>963196239.28</v>
      </c>
    </row>
    <row r="50" spans="1:6" s="79" customFormat="1" ht="15">
      <c r="A50" s="100"/>
      <c r="B50" s="106" t="s">
        <v>150</v>
      </c>
      <c r="C50" s="80">
        <v>483546008.05</v>
      </c>
      <c r="D50" s="80">
        <v>332640104.78</v>
      </c>
      <c r="E50" s="80">
        <v>104123755.21</v>
      </c>
      <c r="F50" s="103">
        <f t="shared" si="2"/>
        <v>920309868.04</v>
      </c>
    </row>
    <row r="51" spans="1:6" s="79" customFormat="1" ht="15">
      <c r="A51" s="100"/>
      <c r="B51" s="106" t="s">
        <v>151</v>
      </c>
      <c r="C51" s="80">
        <v>16447024.38</v>
      </c>
      <c r="D51" s="80">
        <v>0</v>
      </c>
      <c r="E51" s="80">
        <v>0</v>
      </c>
      <c r="F51" s="103">
        <f t="shared" si="2"/>
        <v>16447024.38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26439346.86</v>
      </c>
      <c r="D53" s="80">
        <v>0</v>
      </c>
      <c r="E53" s="80">
        <v>0</v>
      </c>
      <c r="F53" s="103">
        <f t="shared" si="2"/>
        <v>26439346.86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8698474346.32</v>
      </c>
      <c r="D56" s="74">
        <f>SUM(D57:D65)</f>
        <v>1007268544.1</v>
      </c>
      <c r="E56" s="74">
        <f>SUM(E57:E65)</f>
        <v>1819223760.97</v>
      </c>
      <c r="F56" s="105">
        <f t="shared" si="2"/>
        <v>11524966651.39</v>
      </c>
    </row>
    <row r="57" spans="1:6" s="79" customFormat="1" ht="15">
      <c r="A57" s="100"/>
      <c r="B57" s="101" t="s">
        <v>157</v>
      </c>
      <c r="C57" s="80">
        <v>1036636153.9</v>
      </c>
      <c r="D57" s="80">
        <v>0</v>
      </c>
      <c r="E57" s="80">
        <v>0</v>
      </c>
      <c r="F57" s="102">
        <f t="shared" si="2"/>
        <v>1036636153.9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f t="shared" si="2"/>
        <v>0</v>
      </c>
    </row>
    <row r="61" spans="1:6" s="79" customFormat="1" ht="15">
      <c r="A61" s="100"/>
      <c r="B61" s="101" t="s">
        <v>161</v>
      </c>
      <c r="C61" s="80">
        <v>506635212.54</v>
      </c>
      <c r="D61" s="80">
        <v>0</v>
      </c>
      <c r="E61" s="80">
        <v>0</v>
      </c>
      <c r="F61" s="102">
        <f t="shared" si="2"/>
        <v>506635212.54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7076617544.61</v>
      </c>
      <c r="D63" s="80">
        <v>1007268544.1</v>
      </c>
      <c r="E63" s="80">
        <v>1819223760.97</v>
      </c>
      <c r="F63" s="102">
        <f t="shared" si="2"/>
        <v>9903109849.68</v>
      </c>
    </row>
    <row r="64" spans="1:6" s="79" customFormat="1" ht="15">
      <c r="A64" s="100"/>
      <c r="B64" s="101" t="s">
        <v>164</v>
      </c>
      <c r="C64" s="80">
        <v>78585435.27</v>
      </c>
      <c r="D64" s="80">
        <v>0</v>
      </c>
      <c r="E64" s="80">
        <v>0</v>
      </c>
      <c r="F64" s="102">
        <f t="shared" si="2"/>
        <v>78585435.27</v>
      </c>
    </row>
    <row r="65" spans="1:6" ht="15" hidden="1">
      <c r="A65" s="98"/>
      <c r="B65" s="104" t="s">
        <v>165</v>
      </c>
      <c r="C65" s="74"/>
      <c r="D65" s="74">
        <v>0</v>
      </c>
      <c r="E65" s="74">
        <v>0</v>
      </c>
      <c r="F65" s="99">
        <f t="shared" si="2"/>
        <v>0</v>
      </c>
    </row>
    <row r="66" spans="1:6" ht="15" hidden="1">
      <c r="A66" s="98"/>
      <c r="B66" s="76" t="s">
        <v>166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167</v>
      </c>
      <c r="B67" s="76" t="s">
        <v>168</v>
      </c>
      <c r="C67" s="74">
        <f>+C68+C78+C87</f>
        <v>11840243471.089998</v>
      </c>
      <c r="D67" s="74">
        <f>+D68+D78+D87</f>
        <v>1400687652.21</v>
      </c>
      <c r="E67" s="74">
        <f>+E68+E78+E87</f>
        <v>381895377.31</v>
      </c>
      <c r="F67" s="99">
        <f t="shared" si="3"/>
        <v>13622826500.609999</v>
      </c>
    </row>
    <row r="68" spans="1:6" ht="15">
      <c r="A68" s="107"/>
      <c r="B68" s="76" t="s">
        <v>122</v>
      </c>
      <c r="C68" s="75">
        <f>+C69+C70+C71+C72+C77</f>
        <v>10334335314.349998</v>
      </c>
      <c r="D68" s="75">
        <f>+D69+D70+D71+D72+D77</f>
        <v>1400687652.21</v>
      </c>
      <c r="E68" s="75">
        <f>+E69+E70+E71+E72+E77</f>
        <v>381895377.31</v>
      </c>
      <c r="F68" s="99">
        <f t="shared" si="3"/>
        <v>12116918343.869997</v>
      </c>
    </row>
    <row r="69" spans="1:6" s="79" customFormat="1" ht="15" hidden="1">
      <c r="A69" s="108"/>
      <c r="B69" s="101" t="s">
        <v>169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170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171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172</v>
      </c>
      <c r="C72" s="75">
        <f>SUM(C73:C76)</f>
        <v>10334335314.349998</v>
      </c>
      <c r="D72" s="75">
        <f>SUM(D73:D76)</f>
        <v>1400687652.21</v>
      </c>
      <c r="E72" s="75">
        <f>SUM(E73:E76)</f>
        <v>381895377.31</v>
      </c>
      <c r="F72" s="105">
        <f t="shared" si="3"/>
        <v>12116918343.869997</v>
      </c>
    </row>
    <row r="73" spans="1:6" s="79" customFormat="1" ht="15">
      <c r="A73" s="108"/>
      <c r="B73" s="106" t="s">
        <v>173</v>
      </c>
      <c r="C73" s="81">
        <v>10266103534.64</v>
      </c>
      <c r="D73" s="81">
        <v>1325815478.75</v>
      </c>
      <c r="E73" s="81">
        <v>381895377.31</v>
      </c>
      <c r="F73" s="103">
        <f t="shared" si="3"/>
        <v>11973814390.699999</v>
      </c>
    </row>
    <row r="74" spans="1:6" s="79" customFormat="1" ht="15">
      <c r="A74" s="108"/>
      <c r="B74" s="106" t="s">
        <v>174</v>
      </c>
      <c r="C74" s="81">
        <v>20900000</v>
      </c>
      <c r="D74" s="81">
        <v>0</v>
      </c>
      <c r="E74" s="81">
        <v>0</v>
      </c>
      <c r="F74" s="103">
        <f t="shared" si="3"/>
        <v>20900000</v>
      </c>
    </row>
    <row r="75" spans="1:6" s="79" customFormat="1" ht="15" hidden="1">
      <c r="A75" s="108"/>
      <c r="B75" s="106" t="s">
        <v>175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176</v>
      </c>
      <c r="C76" s="81">
        <v>47331779.71</v>
      </c>
      <c r="D76" s="81">
        <v>74872173.46</v>
      </c>
      <c r="E76" s="81">
        <v>0</v>
      </c>
      <c r="F76" s="103">
        <f t="shared" si="3"/>
        <v>122203953.16999999</v>
      </c>
    </row>
    <row r="77" spans="1:6" s="79" customFormat="1" ht="15" hidden="1">
      <c r="A77" s="108"/>
      <c r="B77" s="101" t="s">
        <v>177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178</v>
      </c>
      <c r="C78" s="75">
        <f>SUM(C79:C86)</f>
        <v>1505908156.74</v>
      </c>
      <c r="D78" s="75">
        <f>SUM(D79:D86)</f>
        <v>0</v>
      </c>
      <c r="E78" s="75">
        <v>0</v>
      </c>
      <c r="F78" s="105">
        <f t="shared" si="3"/>
        <v>1505908156.74</v>
      </c>
    </row>
    <row r="79" spans="1:6" s="79" customFormat="1" ht="15">
      <c r="A79" s="108"/>
      <c r="B79" s="101" t="s">
        <v>179</v>
      </c>
      <c r="C79" s="81">
        <v>1036636153.9</v>
      </c>
      <c r="D79" s="81">
        <v>0</v>
      </c>
      <c r="E79" s="81">
        <v>0</v>
      </c>
      <c r="F79" s="103">
        <f t="shared" si="3"/>
        <v>1036636153.9</v>
      </c>
    </row>
    <row r="80" spans="1:6" s="79" customFormat="1" ht="15" hidden="1">
      <c r="A80" s="108"/>
      <c r="B80" s="101" t="s">
        <v>180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181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182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183</v>
      </c>
      <c r="C83" s="81">
        <v>56594292.27</v>
      </c>
      <c r="D83" s="81">
        <v>0</v>
      </c>
      <c r="E83" s="81">
        <v>0</v>
      </c>
      <c r="F83" s="103">
        <f t="shared" si="3"/>
        <v>56594292.27</v>
      </c>
    </row>
    <row r="84" spans="1:6" s="79" customFormat="1" ht="15" hidden="1">
      <c r="A84" s="108"/>
      <c r="B84" s="101" t="s">
        <v>184</v>
      </c>
      <c r="C84" s="81"/>
      <c r="D84" s="81"/>
      <c r="E84" s="81"/>
      <c r="F84" s="103">
        <f t="shared" si="3"/>
        <v>0</v>
      </c>
    </row>
    <row r="85" spans="1:6" s="79" customFormat="1" ht="15">
      <c r="A85" s="108"/>
      <c r="B85" s="101" t="s">
        <v>185</v>
      </c>
      <c r="C85" s="81">
        <v>412677710.57</v>
      </c>
      <c r="D85" s="81">
        <v>0</v>
      </c>
      <c r="E85" s="81">
        <v>0</v>
      </c>
      <c r="F85" s="103">
        <f t="shared" si="3"/>
        <v>412677710.57</v>
      </c>
    </row>
    <row r="86" spans="1:6" s="79" customFormat="1" ht="15" hidden="1">
      <c r="A86" s="108"/>
      <c r="B86" s="101" t="s">
        <v>186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187</v>
      </c>
      <c r="C87" s="81"/>
      <c r="D87" s="81"/>
      <c r="E87" s="81"/>
      <c r="F87" s="103">
        <f>SUM(C87:E87)</f>
        <v>0</v>
      </c>
    </row>
    <row r="88" spans="1:6" s="79" customFormat="1" ht="15">
      <c r="A88" s="98" t="s">
        <v>188</v>
      </c>
      <c r="B88" s="76" t="s">
        <v>210</v>
      </c>
      <c r="C88" s="81">
        <v>0</v>
      </c>
      <c r="D88" s="81">
        <v>0</v>
      </c>
      <c r="E88" s="81">
        <v>0</v>
      </c>
      <c r="F88" s="103">
        <f>SUM(C88:E88)</f>
        <v>0</v>
      </c>
    </row>
    <row r="89" spans="1:6" s="79" customFormat="1" ht="15">
      <c r="A89" s="98" t="s">
        <v>212</v>
      </c>
      <c r="B89" s="76" t="s">
        <v>211</v>
      </c>
      <c r="C89" s="81">
        <v>0</v>
      </c>
      <c r="D89" s="81">
        <v>0</v>
      </c>
      <c r="E89" s="81">
        <v>0</v>
      </c>
      <c r="F89" s="102">
        <f>SUM(C89:E89)</f>
        <v>0</v>
      </c>
    </row>
    <row r="90" spans="1:6" ht="15.75" customHeight="1" thickBot="1">
      <c r="A90" s="111" t="s">
        <v>214</v>
      </c>
      <c r="B90" s="112" t="s">
        <v>213</v>
      </c>
      <c r="C90" s="113">
        <f>+C44-C67+C88-C89</f>
        <v>-2535767035.1099987</v>
      </c>
      <c r="D90" s="113">
        <f>+D44-D67+D88-D89</f>
        <v>-60779003.32999992</v>
      </c>
      <c r="E90" s="113">
        <f>+E44-E67+E88-E89</f>
        <v>1541452138.8700001</v>
      </c>
      <c r="F90" s="114">
        <f>SUM(C90:E90)</f>
        <v>-1055093899.5699985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189</v>
      </c>
      <c r="B92" s="76" t="s">
        <v>190</v>
      </c>
      <c r="C92" s="75"/>
      <c r="D92" s="75"/>
      <c r="E92" s="75"/>
      <c r="F92" s="75"/>
    </row>
    <row r="93" spans="1:6" ht="16.5" hidden="1" thickBot="1" thickTop="1">
      <c r="A93" s="70"/>
      <c r="B93" s="76" t="s">
        <v>191</v>
      </c>
      <c r="C93" s="77">
        <f>C43+C90</f>
        <v>1.1444091796875E-05</v>
      </c>
      <c r="D93" s="77">
        <f>D43+D90</f>
        <v>-4.76837158203125E-07</v>
      </c>
      <c r="E93" s="77">
        <f>E43+E90</f>
        <v>0</v>
      </c>
      <c r="F93" s="77">
        <f>SUM(C93:E93)</f>
        <v>1.0967254638671875E-05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5" t="s">
        <v>57</v>
      </c>
      <c r="B95" s="125"/>
      <c r="C95" s="125"/>
      <c r="D95" s="125"/>
      <c r="E95" s="125"/>
      <c r="F95" s="125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196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2017-10-24T12:20:20Z</dcterms:modified>
  <cp:category/>
  <cp:version/>
  <cp:contentType/>
  <cp:contentStatus/>
</cp:coreProperties>
</file>